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435" windowWidth="18030" windowHeight="6180" tabRatio="765" activeTab="11"/>
  </bookViews>
  <sheets>
    <sheet name="Расчет стоимости" sheetId="14" r:id="rId1"/>
    <sheet name="Снижение" sheetId="16" state="hidden" r:id="rId2"/>
    <sheet name="НМЦ лота" sheetId="17" state="hidden" r:id="rId3"/>
    <sheet name="ССР" sheetId="4" state="hidden" r:id="rId4"/>
    <sheet name="Таблица" sheetId="15" state="hidden" r:id="rId5"/>
    <sheet name="Регионы" sheetId="5" state="hidden" r:id="rId6"/>
    <sheet name="НМЦ лота на ПИР" sheetId="20" state="hidden" r:id="rId7"/>
    <sheet name="Лист1" sheetId="22" state="hidden" r:id="rId8"/>
    <sheet name="НМЦ лота &quot;под ключ&quot;" sheetId="21" state="hidden" r:id="rId9"/>
    <sheet name="Калькуляция для выноса" sheetId="18" state="hidden" r:id="rId10"/>
    <sheet name="Удельники" sheetId="19" state="hidden" r:id="rId11"/>
    <sheet name="Расчет с НДС" sheetId="23" r:id="rId12"/>
  </sheets>
  <externalReferences>
    <externalReference r:id="rId13"/>
    <externalReference r:id="rId14"/>
    <externalReference r:id="rId15"/>
  </externalReferences>
  <definedNames>
    <definedName name="_xlnm._FilterDatabase" localSheetId="4" hidden="1">Таблица!$L$1:$L$718</definedName>
    <definedName name="Большие_переходы">Таблица!$B$147:$B$155</definedName>
    <definedName name="ветер" localSheetId="7">[1]Таблица!$O$23:$O$24</definedName>
    <definedName name="ветер">Таблица!$O$23:$O$24</definedName>
    <definedName name="Воздушные_линии" localSheetId="7">[1]Таблица!$B$6:$B$81</definedName>
    <definedName name="Воздушные_линии">Таблица!$B$6:$B$81</definedName>
    <definedName name="Восстановление_покрытий" localSheetId="7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7">[1]Таблица!$B$479:$B$498</definedName>
    <definedName name="Выключатели" comment="Типы силовых выключателей">Таблица!$B$479:$B$498</definedName>
    <definedName name="Демонтаж_ВЛ" localSheetId="7">[1]Таблица!$B$149:$B$169</definedName>
    <definedName name="Демонтаж_ВЛ">Таблица!$B$149:$B$169</definedName>
    <definedName name="Демонтаж_ВЛ_0_4_10_кВ_поопорно" localSheetId="7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7">[1]Таблица!$B$182:$B$190</definedName>
    <definedName name="Демонтаж_ж_б_опор_ВЛ_35_220_кВ__тыс._руб._за_1_м3">Таблица!$B$182:$B$190</definedName>
    <definedName name="Демонтаж_зданий" localSheetId="7">[1]Таблица!#REF!</definedName>
    <definedName name="Демонтаж_зданий">Таблица!#REF!</definedName>
    <definedName name="Демонтаж_оборудования_ПС" localSheetId="7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7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7">[1]Таблица!$B$409:$B$418</definedName>
    <definedName name="Закрытые_подстанции_в_целом">Таблица!$B$409:$B$418</definedName>
    <definedName name="Затраты_на_вырубку_просеки" localSheetId="7">[1]Таблица!$B$109:$B$112</definedName>
    <definedName name="Затраты_на_вырубку_просеки">Таблица!$B$109:$B$112</definedName>
    <definedName name="Затраты_на_устройство_лежневых_дорог" localSheetId="7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7">[1]Таблица!$B$694:$B$697</definedName>
    <definedName name="Здания_КРУЭ__ЗРУ__укомплектованных_оборудованием">Таблица!$B$694:$B$697</definedName>
    <definedName name="Зоны" localSheetId="7">[1]Регионы!$HN$5:$IQ$5</definedName>
    <definedName name="Зоны">Регионы!$HN$5:$IQ$5</definedName>
    <definedName name="Кабельные_линии" localSheetId="7">[1]Таблица!$B$205:$B$339</definedName>
    <definedName name="Кабельные_линии">Таблица!$B$205:$B$339</definedName>
    <definedName name="Кварталы" localSheetId="7">[1]Регионы!$B$154:$B$182</definedName>
    <definedName name="Кварталы">Регионы!$B$154:$B$182</definedName>
    <definedName name="Компенсаторы" localSheetId="7">[1]Таблица!$B$544:$B$559</definedName>
    <definedName name="Компенсаторы">Таблица!$B$544:$B$559</definedName>
    <definedName name="Комплектные_трансформаторные_устройства" localSheetId="7">[1]Таблица!$B$132:$B$146</definedName>
    <definedName name="Комплектные_трансформаторные_устройства">Таблица!$B$132:$B$146</definedName>
    <definedName name="_xlnm.Print_Area" localSheetId="9">'Калькуляция для выноса'!$A$1:$C$13</definedName>
    <definedName name="_xlnm.Print_Area" localSheetId="2">'НМЦ лота'!$B$2:$L$56</definedName>
    <definedName name="_xlnm.Print_Area" localSheetId="6">'НМЦ лота на ПИР'!$A$1:$F$28</definedName>
    <definedName name="_xlnm.Print_Area" localSheetId="0">'Расчет стоимости'!$A$4:$R$391</definedName>
    <definedName name="_xlnm.Print_Area" localSheetId="1">Снижение!$B$4:$X$39</definedName>
    <definedName name="_xlnm.Print_Area" localSheetId="3">ССР!$A$7:$G$89</definedName>
    <definedName name="ОРУ_по_блочным_и_мостиковым_схемам" localSheetId="7">[1]Таблица!$B$465:$B$476</definedName>
    <definedName name="ОРУ_по_блочным_и_мостиковым_схемам">Таблица!$B$465:$B$476</definedName>
    <definedName name="Отвод_земель_ПС_20" localSheetId="7">[1]Таблица!$B$666:$B$672</definedName>
    <definedName name="Отвод_земель_ПС_20">Таблица!$B$666:$B$672</definedName>
    <definedName name="Отвод_земель_ПС_35_220" localSheetId="7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7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7">[1]Таблица!$B$367:$B$385</definedName>
    <definedName name="Открытые_подстанции_в_целом">Таблица!$B$367:$B$385</definedName>
    <definedName name="Под_напр_ВЛ" localSheetId="7">[1]Таблица!$O$30</definedName>
    <definedName name="Под_напр_ВЛ">Таблица!$O$30</definedName>
    <definedName name="Под_напр_КЛ" localSheetId="7">[1]Таблица!$P$30</definedName>
    <definedName name="Под_напр_КЛ">Таблица!$P$30</definedName>
    <definedName name="Подвеска_ВОЛС_на_существующих_опорах" localSheetId="7">[1]Таблица!$B$125:$B$129</definedName>
    <definedName name="Подвеска_ВОЛС_на_существующих_опорах">Таблица!$B$125:$B$129</definedName>
    <definedName name="Постоянная_часть_закрытых_ПС" localSheetId="7">[1]Таблица!$B$445:$B$450</definedName>
    <definedName name="Постоянная_часть_закрытых_ПС">Таблица!$B$445:$B$450</definedName>
    <definedName name="Постоянная_часть_открытых_ПС" localSheetId="7">[1]Таблица!$B$433:$B$442</definedName>
    <definedName name="Постоянная_часть_открытых_ПС">Таблица!$B$433:$B$442</definedName>
    <definedName name="Постоянный_отвод_земель_ВЛ" localSheetId="7">[1]Таблица!$B$88:$B$106</definedName>
    <definedName name="Постоянный_отвод_земель_ВЛ">Таблица!$B$88:$B$106</definedName>
    <definedName name="Постоянный_отвод_земель_под_КЛ" localSheetId="7">[1]Таблица!$B$715:$B$718</definedName>
    <definedName name="Постоянный_отвод_земель_под_КЛ">Таблица!$B$715:$B$718</definedName>
    <definedName name="пппппп">[2]Таблица!$R$26:$R$28</definedName>
    <definedName name="Прокладка_ВОЛС_в_траншее" localSheetId="7">[1]Таблица!$B$361:$B$363</definedName>
    <definedName name="Прокладка_ВОЛС_в_траншее">Таблица!$B$361:$B$363</definedName>
    <definedName name="Противоаварийная_автоматика_ПС" localSheetId="7">[1]Таблица!$B$453:$B$462</definedName>
    <definedName name="Противоаварийная_автоматика_ПС">Таблица!$B$453:$B$462</definedName>
    <definedName name="Расчет_реконструкции" localSheetId="7">[1]Таблица!$M$7:$M$8</definedName>
    <definedName name="Расчет_реконструкции">Таблица!$M$7:$M$8</definedName>
    <definedName name="Расширение_ПС" localSheetId="7">[1]Таблица!$M$9:$M$10</definedName>
    <definedName name="Расширение_ПС">Таблица!$M$9:$M$10</definedName>
    <definedName name="Реакторы" localSheetId="7">[1]Таблица!$B$562:$B$609</definedName>
    <definedName name="Реакторы">Таблица!$B$562:$B$609</definedName>
    <definedName name="Регионы" comment="Наименования регионов РФ" localSheetId="7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7">[1]Регионы!$HL$6:$HL$8</definedName>
    <definedName name="Сегменты">Регионы!$HL$6:$HL$8</definedName>
    <definedName name="Сейсмика_зданий" localSheetId="7">[1]Таблица!$R$26:$R$28</definedName>
    <definedName name="Сейсмика_зданий">Таблица!$R$26:$R$28</definedName>
    <definedName name="Сейсмика_линий" localSheetId="7">[1]Таблица!$O$26:$O$28</definedName>
    <definedName name="Сейсмика_линий">Таблица!$O$26:$O$28</definedName>
    <definedName name="Снижение_стоимости_двухцепной_ВЛ" localSheetId="7">[1]Таблица!#REF!</definedName>
    <definedName name="Снижение_стоимости_двухцепной_ВЛ">Таблица!#REF!</definedName>
    <definedName name="Стоимость_специальных_переходов" localSheetId="7">[1]Таблица!$B$344:$B$351</definedName>
    <definedName name="Стоимость_специальных_переходов">Таблица!$B$344:$B$351</definedName>
    <definedName name="Таблица_индексов" localSheetId="7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7">[1]Таблица!$B$700:$B$701</definedName>
    <definedName name="Тип_ПС">Таблица!$B$700:$B$701</definedName>
    <definedName name="Трансформаторы" localSheetId="7">[1]Таблица!$B$501:$B$541</definedName>
    <definedName name="Трансформаторы">Таблица!$B$501:$B$541</definedName>
    <definedName name="Условия_ВЛ" localSheetId="7">[1]Таблица!$O$13:$O$17</definedName>
    <definedName name="Условия_ВЛ">Таблица!$O$13:$O$17</definedName>
    <definedName name="Условия_КЛ" localSheetId="7">[1]Таблица!$P$15</definedName>
    <definedName name="Условия_КЛ">Таблица!$P$15</definedName>
  </definedNames>
  <calcPr calcId="145621"/>
</workbook>
</file>

<file path=xl/calcChain.xml><?xml version="1.0" encoding="utf-8"?>
<calcChain xmlns="http://schemas.openxmlformats.org/spreadsheetml/2006/main">
  <c r="Q323" i="14" l="1"/>
  <c r="A6" i="22"/>
  <c r="A3" i="22"/>
  <c r="P77" i="14" l="1"/>
  <c r="K76" i="14"/>
  <c r="P76" i="14" l="1"/>
  <c r="Q76" i="14" l="1"/>
  <c r="G15" i="16" l="1"/>
  <c r="A2" i="22" l="1"/>
  <c r="A1" i="22"/>
  <c r="K10" i="22"/>
  <c r="B28" i="20" l="1"/>
  <c r="B26" i="20"/>
  <c r="C53" i="17"/>
  <c r="C50" i="17"/>
  <c r="O138" i="14" l="1"/>
  <c r="R221" i="14"/>
  <c r="R222" i="14"/>
  <c r="R223" i="14"/>
  <c r="R20" i="14"/>
  <c r="N255" i="14" l="1"/>
  <c r="P320" i="14" l="1"/>
  <c r="H2" i="21" l="1"/>
  <c r="A39" i="21"/>
  <c r="A38" i="21"/>
  <c r="B33" i="20"/>
  <c r="C6" i="16"/>
  <c r="J259" i="14"/>
  <c r="C387" i="14"/>
  <c r="E8" i="17" l="1"/>
  <c r="D19" i="17" s="1"/>
  <c r="A9" i="21"/>
  <c r="A7" i="21"/>
  <c r="C325" i="14"/>
  <c r="D322" i="14"/>
  <c r="D22" i="17" l="1"/>
  <c r="D20" i="17"/>
  <c r="D18" i="17"/>
  <c r="E2" i="20" l="1"/>
  <c r="C388" i="14" l="1"/>
  <c r="B26" i="21" l="1"/>
  <c r="B25" i="21"/>
  <c r="B24" i="21"/>
  <c r="C8" i="21"/>
  <c r="B22" i="20"/>
  <c r="B21" i="20"/>
  <c r="B20" i="20"/>
  <c r="A9" i="20"/>
  <c r="H41" i="21"/>
  <c r="A41" i="21"/>
  <c r="H39" i="21"/>
  <c r="I4" i="21"/>
  <c r="I3" i="21"/>
  <c r="B34" i="20" l="1"/>
  <c r="F36" i="20"/>
  <c r="B36" i="20"/>
  <c r="F34" i="20"/>
  <c r="E4" i="20"/>
  <c r="J390" i="14"/>
  <c r="C390" i="14"/>
  <c r="J388" i="14"/>
  <c r="Q322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7" i="20" l="1"/>
  <c r="E5" i="20" l="1"/>
  <c r="A1" i="18"/>
  <c r="B14" i="4"/>
  <c r="R406" i="14" l="1"/>
  <c r="R405" i="14"/>
  <c r="R404" i="14"/>
  <c r="R403" i="14"/>
  <c r="R402" i="14"/>
  <c r="R401" i="14"/>
  <c r="R400" i="14"/>
  <c r="R399" i="14"/>
  <c r="R398" i="14"/>
  <c r="R208" i="14" l="1"/>
  <c r="R207" i="14"/>
  <c r="R22" i="14" l="1"/>
  <c r="R21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63" i="14"/>
  <c r="N69" i="14"/>
  <c r="M69" i="14"/>
  <c r="L69" i="14"/>
  <c r="J208" i="14"/>
  <c r="J207" i="14"/>
  <c r="J22" i="14"/>
  <c r="C399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2" i="14"/>
  <c r="C370" i="14"/>
  <c r="C371" i="14"/>
  <c r="I352" i="14" l="1"/>
  <c r="C301" i="14" l="1"/>
  <c r="C183" i="14"/>
  <c r="C105" i="14"/>
  <c r="P352" i="14"/>
  <c r="E352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07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8" i="14" l="1"/>
  <c r="R227" i="14"/>
  <c r="R230" i="14"/>
  <c r="R229" i="14"/>
  <c r="M11" i="14"/>
  <c r="A229" i="14"/>
  <c r="A230" i="14" s="1"/>
  <c r="A20" i="14" l="1"/>
  <c r="A21" i="14" l="1"/>
  <c r="A22" i="14" s="1"/>
  <c r="A166" i="14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64" i="14"/>
  <c r="X164" i="14" s="1"/>
  <c r="R163" i="14"/>
  <c r="AB163" i="14" s="1"/>
  <c r="R156" i="14"/>
  <c r="R157" i="14"/>
  <c r="R141" i="14"/>
  <c r="R142" i="14"/>
  <c r="R143" i="14"/>
  <c r="R144" i="14"/>
  <c r="R145" i="14"/>
  <c r="R146" i="14"/>
  <c r="R147" i="14"/>
  <c r="R148" i="14"/>
  <c r="Z46" i="14"/>
  <c r="AA47" i="14"/>
  <c r="X47" i="14"/>
  <c r="AB46" i="14"/>
  <c r="AB47" i="14"/>
  <c r="X46" i="14"/>
  <c r="Z47" i="14"/>
  <c r="AA46" i="14"/>
  <c r="R53" i="14"/>
  <c r="AB53" i="14" s="1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7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05" i="14" l="1"/>
  <c r="C404" i="14"/>
  <c r="C402" i="14"/>
  <c r="C403" i="14"/>
  <c r="K74" i="14"/>
  <c r="E56" i="4"/>
  <c r="C398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43" i="17"/>
  <c r="I40" i="17"/>
  <c r="I44" i="17"/>
  <c r="I37" i="17"/>
  <c r="I30" i="17"/>
  <c r="I41" i="17"/>
  <c r="I46" i="17"/>
  <c r="E20" i="17"/>
  <c r="G24" i="21" s="1"/>
  <c r="H43" i="17"/>
  <c r="H46" i="17"/>
  <c r="H38" i="17"/>
  <c r="H42" i="17"/>
  <c r="H30" i="17"/>
  <c r="H44" i="17"/>
  <c r="H37" i="17"/>
  <c r="H41" i="17"/>
  <c r="H45" i="17"/>
  <c r="D26" i="17"/>
  <c r="E26" i="17" s="1"/>
  <c r="G26" i="21" s="1"/>
  <c r="E19" i="17"/>
  <c r="F24" i="21" s="1"/>
  <c r="G44" i="17"/>
  <c r="G37" i="17"/>
  <c r="G30" i="17"/>
  <c r="D25" i="17"/>
  <c r="E25" i="17" s="1"/>
  <c r="F26" i="21" s="1"/>
  <c r="G41" i="17"/>
  <c r="G45" i="17"/>
  <c r="G38" i="17"/>
  <c r="G42" i="17"/>
  <c r="G43" i="17"/>
  <c r="E22" i="17"/>
  <c r="H24" i="21" s="1"/>
  <c r="J41" i="17"/>
  <c r="J45" i="17"/>
  <c r="J38" i="17"/>
  <c r="J43" i="17"/>
  <c r="J37" i="17"/>
  <c r="J42" i="17"/>
  <c r="J30" i="17"/>
  <c r="D28" i="17"/>
  <c r="E28" i="17" s="1"/>
  <c r="H26" i="21" s="1"/>
  <c r="J44" i="17"/>
  <c r="N24" i="14"/>
  <c r="B19" i="20" l="1"/>
  <c r="F19" i="20"/>
  <c r="F21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71" i="14"/>
  <c r="R169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R18" i="16"/>
  <c r="S18" i="16"/>
  <c r="T18" i="16"/>
  <c r="U18" i="16"/>
  <c r="V18" i="16"/>
  <c r="W18" i="16"/>
  <c r="N19" i="16"/>
  <c r="O19" i="16"/>
  <c r="R19" i="16"/>
  <c r="S19" i="16"/>
  <c r="T19" i="16"/>
  <c r="U19" i="16"/>
  <c r="V19" i="16"/>
  <c r="W19" i="16"/>
  <c r="N20" i="16"/>
  <c r="O20" i="16"/>
  <c r="R20" i="16"/>
  <c r="S20" i="16"/>
  <c r="T20" i="16"/>
  <c r="U20" i="16"/>
  <c r="V20" i="16"/>
  <c r="W20" i="16"/>
  <c r="N21" i="16"/>
  <c r="O21" i="16"/>
  <c r="R21" i="16"/>
  <c r="S21" i="16"/>
  <c r="T21" i="16"/>
  <c r="U21" i="16"/>
  <c r="V21" i="16"/>
  <c r="W21" i="16"/>
  <c r="N22" i="16"/>
  <c r="O22" i="16"/>
  <c r="R22" i="16"/>
  <c r="S22" i="16"/>
  <c r="T22" i="16"/>
  <c r="U22" i="16"/>
  <c r="V22" i="16"/>
  <c r="W22" i="16"/>
  <c r="N23" i="16"/>
  <c r="O23" i="16"/>
  <c r="R23" i="16"/>
  <c r="S23" i="16"/>
  <c r="T23" i="16"/>
  <c r="U23" i="16"/>
  <c r="V23" i="16"/>
  <c r="W23" i="16"/>
  <c r="N24" i="16"/>
  <c r="O24" i="16"/>
  <c r="R24" i="16"/>
  <c r="S24" i="16"/>
  <c r="T24" i="16"/>
  <c r="U24" i="16"/>
  <c r="V24" i="16"/>
  <c r="W24" i="16"/>
  <c r="N25" i="16"/>
  <c r="O25" i="16"/>
  <c r="R25" i="16"/>
  <c r="S25" i="16"/>
  <c r="T25" i="16"/>
  <c r="U25" i="16"/>
  <c r="V25" i="16"/>
  <c r="W25" i="16"/>
  <c r="N26" i="16"/>
  <c r="O26" i="16"/>
  <c r="R26" i="16"/>
  <c r="S26" i="16"/>
  <c r="T26" i="16"/>
  <c r="U26" i="16"/>
  <c r="V26" i="16"/>
  <c r="W26" i="16"/>
  <c r="N27" i="16"/>
  <c r="O27" i="16"/>
  <c r="R27" i="16"/>
  <c r="S27" i="16"/>
  <c r="T27" i="16"/>
  <c r="U27" i="16"/>
  <c r="V27" i="16"/>
  <c r="W27" i="16"/>
  <c r="N28" i="16"/>
  <c r="O28" i="16"/>
  <c r="R28" i="16"/>
  <c r="S28" i="16"/>
  <c r="T28" i="16"/>
  <c r="U28" i="16"/>
  <c r="V28" i="16"/>
  <c r="W28" i="16"/>
  <c r="N29" i="16"/>
  <c r="O29" i="16"/>
  <c r="R29" i="16"/>
  <c r="S29" i="16"/>
  <c r="T29" i="16"/>
  <c r="U29" i="16"/>
  <c r="V29" i="16"/>
  <c r="W29" i="16"/>
  <c r="N30" i="16"/>
  <c r="O30" i="16"/>
  <c r="R30" i="16"/>
  <c r="S30" i="16"/>
  <c r="T30" i="16"/>
  <c r="U30" i="16"/>
  <c r="V30" i="16"/>
  <c r="W30" i="16"/>
  <c r="N31" i="16"/>
  <c r="O31" i="16"/>
  <c r="R31" i="16"/>
  <c r="S31" i="16"/>
  <c r="T31" i="16"/>
  <c r="U31" i="16"/>
  <c r="V31" i="16"/>
  <c r="W31" i="16"/>
  <c r="N32" i="16"/>
  <c r="O32" i="16"/>
  <c r="R32" i="16"/>
  <c r="S32" i="16"/>
  <c r="T32" i="16"/>
  <c r="U32" i="16"/>
  <c r="V32" i="16"/>
  <c r="W32" i="16"/>
  <c r="N33" i="16"/>
  <c r="O33" i="16"/>
  <c r="R33" i="16"/>
  <c r="S33" i="16"/>
  <c r="T33" i="16"/>
  <c r="U33" i="16"/>
  <c r="V33" i="16"/>
  <c r="W33" i="16"/>
  <c r="N34" i="16"/>
  <c r="O34" i="16"/>
  <c r="R34" i="16"/>
  <c r="S34" i="16"/>
  <c r="T34" i="16"/>
  <c r="U34" i="16"/>
  <c r="V34" i="16"/>
  <c r="W34" i="16"/>
  <c r="N35" i="16"/>
  <c r="O35" i="16"/>
  <c r="R35" i="16"/>
  <c r="S35" i="16"/>
  <c r="T35" i="16"/>
  <c r="U35" i="16"/>
  <c r="V35" i="16"/>
  <c r="W35" i="16"/>
  <c r="O17" i="16" l="1"/>
  <c r="W17" i="16"/>
  <c r="S17" i="16"/>
  <c r="N17" i="16"/>
  <c r="T17" i="16"/>
  <c r="V17" i="16"/>
  <c r="R17" i="16"/>
  <c r="U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R138" i="14" s="1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Q267" i="14" l="1"/>
  <c r="R78" i="14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C367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B24" i="14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4" i="14"/>
  <c r="Q404" i="14" s="1"/>
  <c r="C401" i="14"/>
  <c r="C400" i="14"/>
  <c r="J375" i="14"/>
  <c r="J374" i="14"/>
  <c r="J373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5" i="14"/>
  <c r="F374" i="14"/>
  <c r="F373" i="14"/>
  <c r="C375" i="14"/>
  <c r="C374" i="14"/>
  <c r="C373" i="14"/>
  <c r="C35" i="16"/>
  <c r="C34" i="16"/>
  <c r="C33" i="16"/>
  <c r="C369" i="14"/>
  <c r="C32" i="16" s="1"/>
  <c r="C368" i="14"/>
  <c r="C31" i="16" s="1"/>
  <c r="C30" i="16"/>
  <c r="C366" i="14"/>
  <c r="C29" i="16" s="1"/>
  <c r="C365" i="14"/>
  <c r="C28" i="16" s="1"/>
  <c r="C364" i="14"/>
  <c r="C27" i="16" s="1"/>
  <c r="C363" i="14"/>
  <c r="C26" i="16" s="1"/>
  <c r="C361" i="14"/>
  <c r="C25" i="16" s="1"/>
  <c r="C359" i="14"/>
  <c r="C22" i="16" s="1"/>
  <c r="C360" i="14"/>
  <c r="C24" i="16" s="1"/>
  <c r="C362" i="14"/>
  <c r="C23" i="16" s="1"/>
  <c r="C358" i="14"/>
  <c r="C21" i="16" s="1"/>
  <c r="C357" i="14"/>
  <c r="C20" i="16" s="1"/>
  <c r="C356" i="14"/>
  <c r="C19" i="16" s="1"/>
  <c r="C355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R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AA232" i="14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7" i="14" s="1"/>
  <c r="S230" i="14"/>
  <c r="W228" i="14"/>
  <c r="T230" i="14"/>
  <c r="U227" i="14"/>
  <c r="U237" i="14" s="1"/>
  <c r="U229" i="14"/>
  <c r="V227" i="14"/>
  <c r="V237" i="14" s="1"/>
  <c r="V228" i="14"/>
  <c r="S228" i="14"/>
  <c r="W230" i="14"/>
  <c r="W227" i="14"/>
  <c r="W237" i="14" s="1"/>
  <c r="T229" i="14"/>
  <c r="T227" i="14"/>
  <c r="T237" i="14" s="1"/>
  <c r="U230" i="14"/>
  <c r="V229" i="14"/>
  <c r="S229" i="14"/>
  <c r="Y238" i="14"/>
  <c r="AB238" i="14"/>
  <c r="X238" i="14"/>
  <c r="AA238" i="14"/>
  <c r="Z238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07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T265" i="14"/>
  <c r="T296" i="14" s="1"/>
  <c r="S265" i="14"/>
  <c r="S296" i="14" s="1"/>
  <c r="W265" i="14"/>
  <c r="W296" i="14" s="1"/>
  <c r="V265" i="14"/>
  <c r="V296" i="14" s="1"/>
  <c r="U265" i="14"/>
  <c r="U296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T263" i="14" l="1"/>
  <c r="T294" i="14" s="1"/>
  <c r="U263" i="14"/>
  <c r="U294" i="14" s="1"/>
  <c r="U293" i="14" s="1"/>
  <c r="V264" i="14"/>
  <c r="V295" i="14" s="1"/>
  <c r="V293" i="14" s="1"/>
  <c r="W264" i="14"/>
  <c r="W295" i="14" s="1"/>
  <c r="W293" i="14" s="1"/>
  <c r="P188" i="14"/>
  <c r="P306" i="14"/>
  <c r="P298" i="14"/>
  <c r="R305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AB59" i="14" l="1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R109" i="14" l="1"/>
  <c r="P109" i="14" s="1"/>
  <c r="T59" i="14"/>
  <c r="T99" i="14" s="1"/>
  <c r="T56" i="14"/>
  <c r="T96" i="14" s="1"/>
  <c r="P299" i="14"/>
  <c r="S299" i="14"/>
  <c r="R307" i="14"/>
  <c r="U298" i="14" s="1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L74" i="5"/>
  <c r="L73" i="5"/>
  <c r="L84" i="5"/>
  <c r="L82" i="5"/>
  <c r="X402" i="14" l="1"/>
  <c r="X403" i="14" s="1"/>
  <c r="F32" i="4"/>
  <c r="P107" i="14"/>
  <c r="U180" i="14"/>
  <c r="S189" i="14"/>
  <c r="P105" i="14"/>
  <c r="P309" i="14"/>
  <c r="S314" i="14"/>
  <c r="S315" i="14"/>
  <c r="P314" i="14"/>
  <c r="P315" i="14"/>
  <c r="P104" i="14"/>
  <c r="X404" i="14" l="1"/>
  <c r="X405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70" i="5" s="1"/>
  <c r="M174" i="5" s="1"/>
  <c r="M178" i="5" s="1"/>
  <c r="M182" i="5" s="1"/>
  <c r="M165" i="5"/>
  <c r="M169" i="5" s="1"/>
  <c r="M173" i="5" s="1"/>
  <c r="M177" i="5" s="1"/>
  <c r="M181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6" i="14"/>
  <c r="P198" i="14"/>
  <c r="P192" i="14"/>
  <c r="S197" i="14"/>
  <c r="S198" i="14"/>
  <c r="P194" i="14"/>
  <c r="R191" i="14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199" i="14" l="1"/>
  <c r="P199" i="14"/>
  <c r="P200" i="14" s="1"/>
  <c r="X6" i="5"/>
  <c r="GB6" i="5"/>
  <c r="DP6" i="5"/>
  <c r="EV6" i="5"/>
  <c r="CJ6" i="5"/>
  <c r="BD6" i="5"/>
  <c r="E340" i="14"/>
  <c r="E339" i="14"/>
  <c r="E338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E345" i="14" l="1"/>
  <c r="E34" i="16" s="1"/>
  <c r="E344" i="14"/>
  <c r="J3" i="5"/>
  <c r="K3" i="5" s="1"/>
  <c r="E346" i="14"/>
  <c r="E35" i="16" s="1"/>
  <c r="X8" i="5"/>
  <c r="DP8" i="5"/>
  <c r="EV8" i="5"/>
  <c r="CJ8" i="5"/>
  <c r="BD8" i="5"/>
  <c r="GB8" i="5"/>
  <c r="W8" i="5"/>
  <c r="T8" i="5"/>
  <c r="V8" i="5"/>
  <c r="A9" i="5"/>
  <c r="U8" i="5"/>
  <c r="E33" i="16" l="1"/>
  <c r="H17" i="21"/>
  <c r="A78" i="14"/>
  <c r="A79" i="14" s="1"/>
  <c r="L3" i="5"/>
  <c r="M3" i="5" s="1"/>
  <c r="X9" i="5"/>
  <c r="EV9" i="5"/>
  <c r="CJ9" i="5"/>
  <c r="BD9" i="5"/>
  <c r="GB9" i="5"/>
  <c r="DP9" i="5"/>
  <c r="W9" i="5"/>
  <c r="T9" i="5"/>
  <c r="V9" i="5"/>
  <c r="A10" i="5"/>
  <c r="U9" i="5"/>
  <c r="A80" i="14" l="1"/>
  <c r="N3" i="5"/>
  <c r="X10" i="5"/>
  <c r="EV10" i="5"/>
  <c r="BD10" i="5"/>
  <c r="GB10" i="5"/>
  <c r="DP10" i="5"/>
  <c r="CJ10" i="5"/>
  <c r="W10" i="5"/>
  <c r="T10" i="5"/>
  <c r="V10" i="5"/>
  <c r="A11" i="5"/>
  <c r="U10" i="5"/>
  <c r="A81" i="14" l="1"/>
  <c r="E330" i="14"/>
  <c r="O3" i="5"/>
  <c r="E329" i="14"/>
  <c r="E331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H47" i="4"/>
  <c r="A82" i="14"/>
  <c r="P3" i="5"/>
  <c r="Q3" i="5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7" i="14" l="1"/>
  <c r="E22" i="21" s="1"/>
  <c r="E336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3" i="14" l="1"/>
  <c r="E18" i="21" s="1"/>
  <c r="E332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4" i="14"/>
  <c r="E19" i="21" s="1"/>
  <c r="E335" i="14"/>
  <c r="E20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2" i="14" l="1"/>
  <c r="E341" i="14"/>
  <c r="G17" i="21" s="1"/>
  <c r="E343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0" i="14" l="1"/>
  <c r="I330" i="14" s="1"/>
  <c r="M334" i="14"/>
  <c r="I334" i="14" s="1"/>
  <c r="D24" i="16" s="1"/>
  <c r="M345" i="14"/>
  <c r="I345" i="14" s="1"/>
  <c r="E371" i="14" s="1"/>
  <c r="M342" i="14"/>
  <c r="I342" i="14" s="1"/>
  <c r="M335" i="14"/>
  <c r="I335" i="14" s="1"/>
  <c r="M339" i="14"/>
  <c r="I339" i="14" s="1"/>
  <c r="M333" i="14"/>
  <c r="M338" i="14"/>
  <c r="M341" i="14"/>
  <c r="M336" i="14"/>
  <c r="M332" i="14"/>
  <c r="M344" i="14"/>
  <c r="M329" i="14"/>
  <c r="M346" i="14"/>
  <c r="M337" i="14"/>
  <c r="M340" i="14"/>
  <c r="M331" i="14"/>
  <c r="M343" i="14"/>
  <c r="X59" i="5"/>
  <c r="CJ59" i="5"/>
  <c r="DP59" i="5"/>
  <c r="BD59" i="5"/>
  <c r="EV59" i="5"/>
  <c r="GB59" i="5"/>
  <c r="W59" i="5"/>
  <c r="T59" i="5"/>
  <c r="V59" i="5"/>
  <c r="U59" i="5"/>
  <c r="A60" i="5"/>
  <c r="I348" i="14" l="1"/>
  <c r="D25" i="16"/>
  <c r="P335" i="14"/>
  <c r="R335" i="14" s="1"/>
  <c r="P330" i="14"/>
  <c r="E356" i="14"/>
  <c r="D19" i="16"/>
  <c r="F19" i="16" s="1"/>
  <c r="E365" i="14"/>
  <c r="G365" i="14" s="1"/>
  <c r="H365" i="14" s="1"/>
  <c r="D28" i="16"/>
  <c r="F28" i="16" s="1"/>
  <c r="P339" i="14"/>
  <c r="R339" i="14" s="1"/>
  <c r="D31" i="16"/>
  <c r="F31" i="16" s="1"/>
  <c r="P342" i="14"/>
  <c r="R342" i="14" s="1"/>
  <c r="X60" i="5"/>
  <c r="DP60" i="5"/>
  <c r="BD60" i="5"/>
  <c r="EV60" i="5"/>
  <c r="CJ60" i="5"/>
  <c r="GB60" i="5"/>
  <c r="W60" i="5"/>
  <c r="T60" i="5"/>
  <c r="V60" i="5"/>
  <c r="U60" i="5"/>
  <c r="A61" i="5"/>
  <c r="P31" i="16" l="1"/>
  <c r="Q31" i="16"/>
  <c r="P28" i="16"/>
  <c r="Q28" i="16"/>
  <c r="P19" i="16"/>
  <c r="Q19" i="16"/>
  <c r="R330" i="14"/>
  <c r="G356" i="14"/>
  <c r="H356" i="14" s="1"/>
  <c r="M19" i="16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X61" i="5"/>
  <c r="GB61" i="5"/>
  <c r="EV61" i="5"/>
  <c r="DP61" i="5"/>
  <c r="BD61" i="5"/>
  <c r="CJ61" i="5"/>
  <c r="W61" i="5"/>
  <c r="T61" i="5"/>
  <c r="V61" i="5"/>
  <c r="U61" i="5"/>
  <c r="A62" i="5"/>
  <c r="P25" i="16" l="1"/>
  <c r="Q25" i="16"/>
  <c r="M25" i="16"/>
  <c r="H25" i="16"/>
  <c r="X28" i="16"/>
  <c r="P365" i="14" s="1"/>
  <c r="R365" i="14" s="1"/>
  <c r="J25" i="16"/>
  <c r="L25" i="16"/>
  <c r="I365" i="14"/>
  <c r="N365" i="14" s="1"/>
  <c r="I368" i="14"/>
  <c r="X19" i="16"/>
  <c r="P356" i="14" s="1"/>
  <c r="R356" i="14" s="1"/>
  <c r="K25" i="16"/>
  <c r="I25" i="16"/>
  <c r="X31" i="16"/>
  <c r="I356" i="14"/>
  <c r="N356" i="14" s="1"/>
  <c r="X62" i="5"/>
  <c r="GB62" i="5"/>
  <c r="EV62" i="5"/>
  <c r="CJ62" i="5"/>
  <c r="BD62" i="5"/>
  <c r="DP62" i="5"/>
  <c r="W62" i="5"/>
  <c r="T62" i="5"/>
  <c r="V62" i="5"/>
  <c r="U62" i="5"/>
  <c r="A63" i="5"/>
  <c r="X25" i="16" l="1"/>
  <c r="M405" i="14" s="1"/>
  <c r="S405" i="14" s="1"/>
  <c r="I361" i="14"/>
  <c r="X63" i="5"/>
  <c r="DP63" i="5"/>
  <c r="CJ63" i="5"/>
  <c r="BD63" i="5"/>
  <c r="EV63" i="5"/>
  <c r="GB63" i="5"/>
  <c r="W63" i="5"/>
  <c r="T63" i="5"/>
  <c r="V63" i="5"/>
  <c r="U63" i="5"/>
  <c r="A64" i="5"/>
  <c r="M404" i="14" l="1"/>
  <c r="S404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4" i="14"/>
  <c r="E24" i="16"/>
  <c r="F24" i="16" s="1"/>
  <c r="H24" i="16" l="1"/>
  <c r="Q24" i="16"/>
  <c r="L24" i="16"/>
  <c r="M24" i="16"/>
  <c r="P24" i="16"/>
  <c r="K24" i="16"/>
  <c r="J24" i="16"/>
  <c r="I24" i="16"/>
  <c r="R334" i="14"/>
  <c r="I360" i="14" l="1"/>
  <c r="N361" i="14"/>
  <c r="X24" i="16"/>
  <c r="M402" i="14" l="1"/>
  <c r="M403" i="14"/>
  <c r="S403" i="14" s="1"/>
  <c r="N360" i="14"/>
  <c r="D36" i="4" l="1"/>
  <c r="G36" i="4" s="1"/>
  <c r="S402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3" i="14"/>
  <c r="Q403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68" i="14" l="1"/>
  <c r="P368" i="14" s="1"/>
  <c r="R368" i="14" s="1"/>
  <c r="E360" i="14"/>
  <c r="E361" i="14"/>
  <c r="P361" i="14" s="1"/>
  <c r="R361" i="14" s="1"/>
  <c r="N368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P360" i="14" l="1"/>
  <c r="R360" i="14" s="1"/>
  <c r="E374" i="14"/>
  <c r="G361" i="14"/>
  <c r="H361" i="14" s="1"/>
  <c r="G368" i="14"/>
  <c r="H368" i="14" s="1"/>
  <c r="G360" i="14"/>
  <c r="H360" i="14" s="1"/>
  <c r="GB73" i="5"/>
  <c r="EV73" i="5"/>
  <c r="W73" i="5"/>
  <c r="X73" i="5"/>
  <c r="DP73" i="5"/>
  <c r="U73" i="5"/>
  <c r="V73" i="5"/>
  <c r="BD73" i="5"/>
  <c r="T73" i="5"/>
  <c r="A74" i="5"/>
  <c r="CJ73" i="5"/>
  <c r="I48" i="4" l="1"/>
  <c r="I27" i="4" s="1"/>
  <c r="D48" i="4" s="1"/>
  <c r="G48" i="4" s="1"/>
  <c r="GB74" i="5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P345" i="14" l="1"/>
  <c r="P348" i="14" s="1"/>
  <c r="D34" i="16"/>
  <c r="F34" i="16" l="1"/>
  <c r="Q34" i="16" s="1"/>
  <c r="G371" i="14"/>
  <c r="R345" i="14"/>
  <c r="R348" i="14" s="1"/>
  <c r="H34" i="16" l="1"/>
  <c r="P34" i="16"/>
  <c r="L34" i="16"/>
  <c r="M34" i="16"/>
  <c r="K34" i="16"/>
  <c r="I34" i="16"/>
  <c r="J34" i="16"/>
  <c r="G374" i="14"/>
  <c r="H371" i="14"/>
  <c r="H374" i="14" s="1"/>
  <c r="I371" i="14" l="1"/>
  <c r="X34" i="16"/>
  <c r="P371" i="14" l="1"/>
  <c r="N371" i="14"/>
  <c r="I374" i="14"/>
  <c r="N374" i="14" l="1"/>
  <c r="P374" i="14"/>
  <c r="R371" i="14"/>
  <c r="R374" i="14" s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98" i="14"/>
  <c r="X399" i="14" s="1"/>
  <c r="R124" i="14"/>
  <c r="R125" i="14"/>
  <c r="I331" i="14" s="1"/>
  <c r="R122" i="14"/>
  <c r="R123" i="14"/>
  <c r="I343" i="14" s="1"/>
  <c r="R120" i="14"/>
  <c r="R121" i="14"/>
  <c r="I340" i="14" s="1"/>
  <c r="G23" i="4"/>
  <c r="X400" i="14" l="1"/>
  <c r="X401" i="14" s="1"/>
  <c r="E357" i="14"/>
  <c r="D20" i="16"/>
  <c r="F20" i="16" s="1"/>
  <c r="P331" i="14"/>
  <c r="P343" i="14"/>
  <c r="R343" i="14" s="1"/>
  <c r="D32" i="16"/>
  <c r="F32" i="16" s="1"/>
  <c r="E369" i="14"/>
  <c r="G369" i="14" s="1"/>
  <c r="H369" i="14" s="1"/>
  <c r="P123" i="14"/>
  <c r="F31" i="4"/>
  <c r="G24" i="4"/>
  <c r="F33" i="4"/>
  <c r="F25" i="4"/>
  <c r="G25" i="4" s="1"/>
  <c r="G22" i="4"/>
  <c r="I329" i="14"/>
  <c r="E355" i="14" s="1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1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6" i="14" s="1"/>
  <c r="S116" i="14"/>
  <c r="R116" i="14" s="1"/>
  <c r="P116" i="14" s="1"/>
  <c r="V119" i="14"/>
  <c r="S125" i="14" s="1"/>
  <c r="U115" i="14"/>
  <c r="U118" i="14"/>
  <c r="P120" i="14"/>
  <c r="I338" i="14"/>
  <c r="P32" i="16" l="1"/>
  <c r="Q32" i="16"/>
  <c r="P20" i="16"/>
  <c r="Q20" i="16"/>
  <c r="G357" i="14"/>
  <c r="R331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3" i="14"/>
  <c r="R114" i="14"/>
  <c r="I332" i="14"/>
  <c r="E362" i="14"/>
  <c r="D23" i="16"/>
  <c r="F23" i="16" s="1"/>
  <c r="P336" i="14"/>
  <c r="R336" i="14" s="1"/>
  <c r="E367" i="14"/>
  <c r="D30" i="16"/>
  <c r="P341" i="14"/>
  <c r="P338" i="14"/>
  <c r="D27" i="16"/>
  <c r="E364" i="14"/>
  <c r="D18" i="16"/>
  <c r="P329" i="14"/>
  <c r="P332" i="14" l="1"/>
  <c r="E358" i="14"/>
  <c r="P23" i="16"/>
  <c r="Q23" i="16"/>
  <c r="H357" i="14"/>
  <c r="F27" i="16"/>
  <c r="Q27" i="16" s="1"/>
  <c r="M23" i="16"/>
  <c r="H23" i="16"/>
  <c r="K23" i="16"/>
  <c r="L23" i="16"/>
  <c r="I369" i="14"/>
  <c r="N369" i="14" s="1"/>
  <c r="X32" i="16"/>
  <c r="P369" i="14" s="1"/>
  <c r="R369" i="14" s="1"/>
  <c r="I357" i="14"/>
  <c r="X20" i="16"/>
  <c r="P357" i="14" s="1"/>
  <c r="S114" i="14"/>
  <c r="R127" i="14"/>
  <c r="P114" i="14"/>
  <c r="E359" i="14"/>
  <c r="G359" i="14" s="1"/>
  <c r="H359" i="14" s="1"/>
  <c r="I27" i="16"/>
  <c r="J23" i="16"/>
  <c r="I23" i="16"/>
  <c r="R341" i="14"/>
  <c r="R338" i="14"/>
  <c r="P126" i="14"/>
  <c r="D21" i="16"/>
  <c r="P333" i="14"/>
  <c r="R333" i="14" s="1"/>
  <c r="D22" i="16"/>
  <c r="F22" i="16" s="1"/>
  <c r="R329" i="14"/>
  <c r="G362" i="14"/>
  <c r="H362" i="14" s="1"/>
  <c r="G367" i="14"/>
  <c r="H367" i="14" s="1"/>
  <c r="G355" i="14"/>
  <c r="G364" i="14"/>
  <c r="H364" i="14" s="1"/>
  <c r="F30" i="16"/>
  <c r="F18" i="16"/>
  <c r="P18" i="16" l="1"/>
  <c r="Q18" i="16"/>
  <c r="P30" i="16"/>
  <c r="Q30" i="16"/>
  <c r="P22" i="16"/>
  <c r="Q22" i="16"/>
  <c r="J27" i="16"/>
  <c r="P27" i="16"/>
  <c r="R357" i="14"/>
  <c r="N357" i="14"/>
  <c r="H355" i="14"/>
  <c r="L27" i="16"/>
  <c r="H27" i="16"/>
  <c r="M27" i="16"/>
  <c r="K27" i="16"/>
  <c r="G358" i="14"/>
  <c r="H358" i="14" s="1"/>
  <c r="F21" i="16"/>
  <c r="Q21" i="16" s="1"/>
  <c r="M18" i="16"/>
  <c r="H18" i="16"/>
  <c r="M22" i="16"/>
  <c r="H22" i="16"/>
  <c r="M30" i="16"/>
  <c r="H30" i="16"/>
  <c r="K18" i="16"/>
  <c r="L18" i="16"/>
  <c r="K22" i="16"/>
  <c r="L22" i="16"/>
  <c r="K30" i="16"/>
  <c r="L30" i="16"/>
  <c r="I362" i="14"/>
  <c r="N362" i="14" s="1"/>
  <c r="X23" i="16"/>
  <c r="P362" i="14" s="1"/>
  <c r="S127" i="14"/>
  <c r="P127" i="14"/>
  <c r="P128" i="14" s="1"/>
  <c r="I344" i="14"/>
  <c r="I347" i="14" s="1"/>
  <c r="J30" i="16"/>
  <c r="I30" i="16"/>
  <c r="J18" i="16"/>
  <c r="I18" i="16"/>
  <c r="J22" i="16"/>
  <c r="I22" i="16"/>
  <c r="R332" i="14"/>
  <c r="J21" i="16" l="1"/>
  <c r="P21" i="16"/>
  <c r="L21" i="16"/>
  <c r="H21" i="16"/>
  <c r="X27" i="16"/>
  <c r="P364" i="14" s="1"/>
  <c r="M21" i="16"/>
  <c r="I364" i="14"/>
  <c r="K21" i="16"/>
  <c r="I21" i="16"/>
  <c r="M406" i="14"/>
  <c r="S406" i="14" s="1"/>
  <c r="X30" i="16"/>
  <c r="P367" i="14" s="1"/>
  <c r="X22" i="16"/>
  <c r="M400" i="14" s="1"/>
  <c r="S400" i="14" s="1"/>
  <c r="E370" i="14"/>
  <c r="E373" i="14" s="1"/>
  <c r="I355" i="14"/>
  <c r="B12" i="22" s="1"/>
  <c r="I367" i="14"/>
  <c r="X18" i="16"/>
  <c r="I359" i="14"/>
  <c r="N359" i="14" s="1"/>
  <c r="D33" i="16"/>
  <c r="P344" i="14"/>
  <c r="P347" i="14" s="1"/>
  <c r="R362" i="14"/>
  <c r="R309" i="14"/>
  <c r="I337" i="14" s="1"/>
  <c r="R364" i="14" l="1"/>
  <c r="C5" i="18"/>
  <c r="I358" i="14"/>
  <c r="N364" i="14"/>
  <c r="X21" i="16"/>
  <c r="M399" i="14" s="1"/>
  <c r="S399" i="14" s="1"/>
  <c r="N367" i="14"/>
  <c r="N355" i="14"/>
  <c r="F33" i="16"/>
  <c r="Q33" i="16" s="1"/>
  <c r="U397" i="14"/>
  <c r="U405" i="14" s="1"/>
  <c r="M401" i="14"/>
  <c r="S401" i="14" s="1"/>
  <c r="P359" i="14"/>
  <c r="R359" i="14" s="1"/>
  <c r="R344" i="14"/>
  <c r="R347" i="14" s="1"/>
  <c r="G370" i="14"/>
  <c r="G373" i="14" s="1"/>
  <c r="P355" i="14"/>
  <c r="C3" i="22" s="1"/>
  <c r="V397" i="14"/>
  <c r="V401" i="14" s="1"/>
  <c r="R367" i="14"/>
  <c r="S309" i="14"/>
  <c r="R316" i="14"/>
  <c r="D29" i="16"/>
  <c r="E366" i="14"/>
  <c r="P340" i="14"/>
  <c r="K12" i="22" l="1"/>
  <c r="J33" i="16"/>
  <c r="P33" i="16"/>
  <c r="N358" i="14"/>
  <c r="L33" i="16"/>
  <c r="H33" i="16"/>
  <c r="M33" i="16"/>
  <c r="M398" i="14"/>
  <c r="D35" i="4" s="1"/>
  <c r="G35" i="4" s="1"/>
  <c r="P358" i="14"/>
  <c r="K33" i="16"/>
  <c r="I33" i="16"/>
  <c r="F29" i="16"/>
  <c r="Q29" i="16" s="1"/>
  <c r="U401" i="14"/>
  <c r="U407" i="14"/>
  <c r="U398" i="14"/>
  <c r="U399" i="14"/>
  <c r="U403" i="14"/>
  <c r="U406" i="14"/>
  <c r="U404" i="14"/>
  <c r="U402" i="14"/>
  <c r="U400" i="14"/>
  <c r="I346" i="14"/>
  <c r="I349" i="14" s="1"/>
  <c r="H370" i="14"/>
  <c r="H373" i="14" s="1"/>
  <c r="R355" i="14"/>
  <c r="V400" i="14"/>
  <c r="V407" i="14"/>
  <c r="V405" i="14"/>
  <c r="V406" i="14"/>
  <c r="V398" i="14"/>
  <c r="V404" i="14"/>
  <c r="V399" i="14"/>
  <c r="V403" i="14"/>
  <c r="V402" i="14"/>
  <c r="R340" i="14"/>
  <c r="S316" i="14"/>
  <c r="G366" i="14"/>
  <c r="H366" i="14" s="1"/>
  <c r="P316" i="14"/>
  <c r="P317" i="14" s="1"/>
  <c r="D26" i="16"/>
  <c r="P337" i="14"/>
  <c r="E363" i="14"/>
  <c r="R358" i="14" l="1"/>
  <c r="J29" i="16"/>
  <c r="P29" i="16"/>
  <c r="L29" i="16"/>
  <c r="H29" i="16"/>
  <c r="M29" i="16"/>
  <c r="I47" i="4"/>
  <c r="K29" i="16"/>
  <c r="S398" i="14"/>
  <c r="D41" i="4"/>
  <c r="G41" i="4" s="1"/>
  <c r="X33" i="16"/>
  <c r="P370" i="14" s="1"/>
  <c r="P373" i="14" s="1"/>
  <c r="I370" i="14"/>
  <c r="I373" i="14" s="1"/>
  <c r="I29" i="16"/>
  <c r="E372" i="14"/>
  <c r="P346" i="14"/>
  <c r="P349" i="14" s="1"/>
  <c r="D35" i="16"/>
  <c r="R337" i="14"/>
  <c r="G363" i="14"/>
  <c r="F26" i="16"/>
  <c r="P26" i="16" l="1"/>
  <c r="Q26" i="16"/>
  <c r="E375" i="14"/>
  <c r="E354" i="14" s="1"/>
  <c r="X29" i="16"/>
  <c r="T397" i="14" s="1"/>
  <c r="T402" i="14" s="1"/>
  <c r="I26" i="4"/>
  <c r="D47" i="4" s="1"/>
  <c r="G47" i="4" s="1"/>
  <c r="N370" i="14"/>
  <c r="N373" i="14" s="1"/>
  <c r="R370" i="14"/>
  <c r="R373" i="14" s="1"/>
  <c r="I366" i="14"/>
  <c r="P328" i="14"/>
  <c r="H26" i="16"/>
  <c r="F35" i="16"/>
  <c r="Q35" i="16" s="1"/>
  <c r="L26" i="16"/>
  <c r="M26" i="16"/>
  <c r="I328" i="14"/>
  <c r="D17" i="16"/>
  <c r="J26" i="16"/>
  <c r="I26" i="16"/>
  <c r="R346" i="14"/>
  <c r="G372" i="14"/>
  <c r="H372" i="14" s="1"/>
  <c r="K26" i="16"/>
  <c r="H363" i="14"/>
  <c r="Q17" i="16" l="1"/>
  <c r="C4" i="18"/>
  <c r="C12" i="22"/>
  <c r="J35" i="16"/>
  <c r="P35" i="16"/>
  <c r="P17" i="16" s="1"/>
  <c r="G375" i="14"/>
  <c r="G354" i="14" s="1"/>
  <c r="R349" i="14"/>
  <c r="R328" i="14" s="1"/>
  <c r="I35" i="16"/>
  <c r="I17" i="16" s="1"/>
  <c r="L35" i="16"/>
  <c r="L17" i="16" s="1"/>
  <c r="H35" i="16"/>
  <c r="H17" i="16" s="1"/>
  <c r="P366" i="14"/>
  <c r="H12" i="22" s="1"/>
  <c r="M35" i="16"/>
  <c r="M17" i="16" s="1"/>
  <c r="K35" i="16"/>
  <c r="N366" i="14"/>
  <c r="F17" i="16"/>
  <c r="J17" i="16"/>
  <c r="T353" i="14"/>
  <c r="S328" i="14"/>
  <c r="H375" i="14"/>
  <c r="T407" i="14"/>
  <c r="T403" i="14"/>
  <c r="T399" i="14"/>
  <c r="T398" i="14"/>
  <c r="T401" i="14"/>
  <c r="T406" i="14"/>
  <c r="T405" i="14"/>
  <c r="T400" i="14"/>
  <c r="T404" i="14"/>
  <c r="I363" i="14"/>
  <c r="D12" i="22" s="1"/>
  <c r="X26" i="16"/>
  <c r="C3" i="18" l="1"/>
  <c r="R366" i="14"/>
  <c r="I372" i="14"/>
  <c r="C6" i="18" s="1"/>
  <c r="E15" i="21"/>
  <c r="E16" i="21"/>
  <c r="E14" i="21"/>
  <c r="H16" i="17"/>
  <c r="H20" i="17" s="1"/>
  <c r="H26" i="17" s="1"/>
  <c r="F15" i="17"/>
  <c r="K17" i="16"/>
  <c r="X35" i="16"/>
  <c r="W397" i="14" s="1"/>
  <c r="T360" i="14"/>
  <c r="T366" i="14"/>
  <c r="E33" i="4" s="1"/>
  <c r="E75" i="4" s="1"/>
  <c r="T368" i="14"/>
  <c r="F51" i="4" s="1"/>
  <c r="G51" i="4" s="1"/>
  <c r="T365" i="14"/>
  <c r="E32" i="4" s="1"/>
  <c r="E74" i="4" s="1"/>
  <c r="T369" i="14"/>
  <c r="F52" i="4" s="1"/>
  <c r="G52" i="4" s="1"/>
  <c r="T357" i="14"/>
  <c r="F70" i="4" s="1"/>
  <c r="G70" i="4" s="1"/>
  <c r="T356" i="14"/>
  <c r="F69" i="4" s="1"/>
  <c r="G69" i="4" s="1"/>
  <c r="T361" i="14"/>
  <c r="T370" i="14"/>
  <c r="T371" i="14"/>
  <c r="T359" i="14"/>
  <c r="T362" i="14"/>
  <c r="T367" i="14"/>
  <c r="F50" i="4" s="1"/>
  <c r="G50" i="4" s="1"/>
  <c r="T358" i="14"/>
  <c r="T364" i="14"/>
  <c r="E31" i="4" s="1"/>
  <c r="E73" i="4" s="1"/>
  <c r="G15" i="17"/>
  <c r="F14" i="21" s="1"/>
  <c r="I15" i="17"/>
  <c r="T355" i="14"/>
  <c r="F68" i="4" s="1"/>
  <c r="G68" i="4" s="1"/>
  <c r="J15" i="17"/>
  <c r="H14" i="21" s="1"/>
  <c r="I16" i="17"/>
  <c r="I21" i="17" s="1"/>
  <c r="I27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T363" i="14"/>
  <c r="P363" i="14"/>
  <c r="I12" i="22" s="1"/>
  <c r="M407" i="14"/>
  <c r="N363" i="14"/>
  <c r="I38" i="17" l="1"/>
  <c r="I39" i="17"/>
  <c r="G39" i="17"/>
  <c r="G40" i="17"/>
  <c r="H39" i="17"/>
  <c r="H40" i="17"/>
  <c r="I375" i="14"/>
  <c r="I354" i="14" s="1"/>
  <c r="A12" i="22" s="1"/>
  <c r="E12" i="22" s="1"/>
  <c r="E23" i="21"/>
  <c r="G23" i="21"/>
  <c r="F23" i="21"/>
  <c r="N372" i="14"/>
  <c r="N375" i="14" s="1"/>
  <c r="N354" i="14" s="1"/>
  <c r="P372" i="14"/>
  <c r="P375" i="14" s="1"/>
  <c r="P354" i="14" s="1"/>
  <c r="F12" i="22" s="1"/>
  <c r="T372" i="14"/>
  <c r="T375" i="14" s="1"/>
  <c r="F15" i="20"/>
  <c r="F16" i="20" s="1"/>
  <c r="F18" i="20" s="1"/>
  <c r="F20" i="20" s="1"/>
  <c r="F22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I31" i="17"/>
  <c r="I32" i="17"/>
  <c r="F71" i="4"/>
  <c r="T374" i="14"/>
  <c r="D32" i="4"/>
  <c r="D74" i="4" s="1"/>
  <c r="K15" i="17"/>
  <c r="L15" i="17" s="1"/>
  <c r="K16" i="17"/>
  <c r="L16" i="17" s="1"/>
  <c r="T373" i="14"/>
  <c r="W398" i="14"/>
  <c r="G398" i="14" s="1"/>
  <c r="W399" i="14"/>
  <c r="G399" i="14" s="1"/>
  <c r="P399" i="14" s="1"/>
  <c r="Q399" i="14" s="1"/>
  <c r="W400" i="14"/>
  <c r="G400" i="14" s="1"/>
  <c r="P400" i="14" s="1"/>
  <c r="Q400" i="14" s="1"/>
  <c r="W401" i="14"/>
  <c r="G401" i="14" s="1"/>
  <c r="P401" i="14" s="1"/>
  <c r="Q401" i="14" s="1"/>
  <c r="W405" i="14"/>
  <c r="G405" i="14" s="1"/>
  <c r="P405" i="14" s="1"/>
  <c r="Q405" i="14" s="1"/>
  <c r="W403" i="14"/>
  <c r="G403" i="14" s="1"/>
  <c r="W404" i="14"/>
  <c r="G404" i="14" s="1"/>
  <c r="W407" i="14"/>
  <c r="W402" i="14"/>
  <c r="G402" i="14" s="1"/>
  <c r="P402" i="14" s="1"/>
  <c r="Q402" i="14" s="1"/>
  <c r="W406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3" i="14"/>
  <c r="D43" i="4"/>
  <c r="S407" i="14"/>
  <c r="D37" i="4"/>
  <c r="J39" i="17" l="1"/>
  <c r="J40" i="17"/>
  <c r="L12" i="22"/>
  <c r="O12" i="22" s="1"/>
  <c r="G12" i="22"/>
  <c r="J12" i="22" s="1"/>
  <c r="C4" i="22"/>
  <c r="C5" i="22" s="1"/>
  <c r="C6" i="22"/>
  <c r="F23" i="20"/>
  <c r="F24" i="20" s="1"/>
  <c r="G25" i="21"/>
  <c r="F25" i="21"/>
  <c r="I23" i="21"/>
  <c r="T354" i="14"/>
  <c r="G77" i="4" s="1"/>
  <c r="R372" i="14"/>
  <c r="R375" i="14" s="1"/>
  <c r="R354" i="14" s="1"/>
  <c r="F55" i="4"/>
  <c r="J14" i="21"/>
  <c r="G71" i="4"/>
  <c r="G31" i="4"/>
  <c r="J36" i="17"/>
  <c r="J31" i="17"/>
  <c r="J33" i="17"/>
  <c r="J35" i="17"/>
  <c r="J32" i="17"/>
  <c r="J34" i="17"/>
  <c r="G407" i="14"/>
  <c r="P407" i="14" s="1"/>
  <c r="Q407" i="14" s="1"/>
  <c r="G32" i="4"/>
  <c r="G406" i="14"/>
  <c r="P406" i="14" s="1"/>
  <c r="Q406" i="14" s="1"/>
  <c r="P398" i="14"/>
  <c r="Q398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G27" i="21" l="1"/>
  <c r="G28" i="21" s="1"/>
  <c r="F27" i="21"/>
  <c r="F28" i="21" s="1"/>
  <c r="I25" i="21"/>
  <c r="I27" i="21" s="1"/>
  <c r="I28" i="21" s="1"/>
  <c r="J23" i="2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64" i="14"/>
  <c r="A24" i="14"/>
  <c r="A25" i="14" l="1"/>
  <c r="A26" i="14" s="1"/>
  <c r="A27" i="14" s="1"/>
  <c r="A28" i="14" l="1"/>
  <c r="A45" i="14" s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45" i="17"/>
  <c r="K45" i="17" s="1"/>
  <c r="L45" i="17" s="1"/>
  <c r="F30" i="17"/>
  <c r="K30" i="17" s="1"/>
  <c r="L30" i="17" s="1"/>
  <c r="F36" i="17"/>
  <c r="K36" i="17" s="1"/>
  <c r="L36" i="17" s="1"/>
  <c r="F34" i="17"/>
  <c r="K34" i="17" s="1"/>
  <c r="L34" i="17" s="1"/>
  <c r="F37" i="17"/>
  <c r="K37" i="17" s="1"/>
  <c r="L37" i="17" s="1"/>
  <c r="F42" i="17"/>
  <c r="K42" i="17" s="1"/>
  <c r="L42" i="17" s="1"/>
  <c r="F38" i="17"/>
  <c r="K38" i="17" s="1"/>
  <c r="L38" i="17" s="1"/>
  <c r="F41" i="17"/>
  <c r="K41" i="17" s="1"/>
  <c r="L41" i="17" s="1"/>
  <c r="F46" i="17"/>
  <c r="K46" i="17" s="1"/>
  <c r="L46" i="17" s="1"/>
  <c r="F31" i="17"/>
  <c r="K31" i="17" s="1"/>
  <c r="F33" i="17"/>
  <c r="K33" i="17" s="1"/>
  <c r="L33" i="17" s="1"/>
  <c r="E18" i="17"/>
  <c r="F18" i="17" s="1"/>
  <c r="E11" i="17"/>
  <c r="E24" i="21" l="1"/>
  <c r="E25" i="21" s="1"/>
  <c r="E26" i="21"/>
  <c r="F24" i="17"/>
  <c r="L31" i="17"/>
  <c r="F39" i="17" l="1"/>
  <c r="K39" i="17" s="1"/>
  <c r="C7" i="22" s="1"/>
  <c r="F40" i="17"/>
  <c r="K40" i="17" s="1"/>
  <c r="E27" i="21"/>
  <c r="E28" i="21" s="1"/>
  <c r="J28" i="21" s="1"/>
  <c r="F35" i="17"/>
  <c r="K35" i="17" s="1"/>
  <c r="L35" i="17" s="1"/>
  <c r="F32" i="17"/>
  <c r="K32" i="17" s="1"/>
  <c r="L32" i="17" s="1"/>
  <c r="J25" i="21"/>
  <c r="L40" i="17" l="1"/>
  <c r="C8" i="22"/>
  <c r="L39" i="17"/>
  <c r="J27" i="2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<sst xmlns="http://schemas.openxmlformats.org/spreadsheetml/2006/main" count="2907" uniqueCount="1463">
  <si>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</si>
  <si>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</si>
  <si>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</si>
  <si>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</si>
  <si>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</si>
  <si>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</si>
  <si>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</si>
  <si>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</si>
  <si>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</si>
  <si>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</si>
  <si>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</si>
  <si>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</si>
  <si>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</si>
  <si>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</si>
  <si>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</si>
  <si>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</si>
  <si>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</si>
  <si>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</si>
  <si>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</si>
  <si>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</si>
  <si>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</si>
  <si>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</si>
  <si>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</si>
  <si>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</si>
  <si>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</si>
  <si>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</si>
  <si>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</si>
  <si>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</si>
  <si>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</si>
  <si>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</si>
  <si>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</si>
  <si>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</si>
  <si>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</si>
  <si>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</si>
  <si>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</si>
  <si>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</si>
  <si>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</si>
  <si>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</si>
  <si>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</si>
  <si>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</si>
  <si>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</si>
  <si>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</si>
  <si>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</si>
  <si>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</si>
  <si>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</si>
  <si>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</si>
  <si>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</si>
  <si>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</si>
  <si>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</si>
  <si>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</si>
  <si>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</si>
  <si>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</si>
  <si>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</si>
  <si>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</si>
  <si>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</si>
  <si>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</si>
  <si>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</si>
  <si>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</si>
  <si>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</si>
  <si>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</si>
  <si>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</si>
  <si>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</si>
  <si>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</si>
  <si>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</si>
  <si>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</si>
  <si>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</si>
  <si>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</si>
  <si>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</si>
  <si>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</si>
  <si>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</si>
  <si>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</si>
  <si>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</si>
  <si>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</si>
  <si>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</si>
  <si>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</si>
  <si>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</si>
  <si>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</si>
  <si>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</si>
  <si>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</si>
  <si>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</si>
  <si>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</si>
  <si>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</si>
  <si>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</si>
  <si>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</si>
  <si>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</si>
  <si>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</si>
  <si>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</si>
  <si>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</si>
  <si>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</si>
  <si>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</si>
  <si>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</si>
  <si>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</si>
  <si>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</si>
  <si>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</si>
  <si>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</si>
  <si>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</si>
  <si>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</si>
  <si>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</si>
  <si>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</si>
  <si>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</si>
  <si>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</si>
  <si>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</si>
  <si>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</si>
  <si>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</si>
  <si>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</si>
  <si>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</si>
  <si>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</si>
  <si>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</si>
  <si>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</si>
  <si>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</si>
  <si>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</si>
  <si>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</si>
  <si>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</si>
  <si>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</si>
  <si>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</si>
  <si>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</si>
  <si>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</si>
  <si>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</si>
  <si>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</si>
  <si>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</si>
  <si>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</si>
  <si>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</si>
  <si>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</si>
  <si>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</si>
  <si>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</si>
  <si>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</si>
  <si>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</si>
  <si>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</si>
  <si>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</si>
  <si>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</si>
  <si>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</si>
  <si>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</si>
  <si>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</si>
  <si>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</si>
  <si>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</si>
  <si>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</si>
  <si>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</si>
  <si>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</si>
  <si>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</si>
  <si>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</si>
  <si>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</si>
  <si>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</si>
  <si>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</si>
  <si>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</si>
  <si>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</si>
  <si>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</si>
  <si>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</si>
  <si>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</si>
  <si>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</si>
  <si>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</si>
  <si>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</si>
  <si>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</si>
  <si>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</si>
  <si>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</si>
  <si>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</si>
  <si>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</si>
  <si>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</si>
  <si>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</si>
  <si>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</si>
  <si>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</si>
  <si>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</si>
  <si>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</si>
  <si>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</si>
  <si>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</si>
  <si>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</si>
  <si>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</si>
  <si>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</si>
  <si>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</si>
  <si>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</si>
  <si>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</si>
  <si>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</si>
  <si>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</si>
  <si>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</si>
  <si>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</si>
  <si>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</si>
  <si>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</si>
  <si>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</si>
  <si>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</si>
  <si>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</si>
  <si>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</si>
  <si>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</si>
  <si>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</si>
  <si>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</si>
  <si>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</si>
  <si>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</si>
  <si>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</si>
  <si>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</si>
  <si>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</si>
  <si>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</si>
  <si>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</si>
  <si>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</si>
  <si>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</si>
  <si>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</si>
  <si>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</si>
  <si>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</si>
  <si>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</si>
  <si>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</si>
  <si>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</si>
  <si>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</si>
  <si>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</si>
  <si>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</si>
  <si>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</si>
  <si>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</si>
  <si>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</si>
  <si>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</si>
  <si>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</si>
  <si>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</si>
  <si>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</si>
  <si>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</si>
  <si>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</si>
  <si>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</si>
  <si>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</si>
  <si>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</si>
  <si>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</si>
  <si>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</si>
  <si>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</si>
  <si>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</si>
  <si>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</si>
  <si>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</si>
  <si>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</si>
  <si>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</si>
  <si>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</si>
  <si>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</si>
  <si>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</si>
  <si>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</si>
  <si>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</si>
  <si>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</si>
  <si>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</si>
  <si>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</si>
  <si>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</si>
  <si>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</si>
  <si>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</si>
  <si>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</si>
  <si>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</si>
  <si>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</si>
  <si>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</si>
  <si>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</si>
  <si>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</si>
  <si>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</si>
  <si>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</si>
  <si>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</si>
  <si>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</si>
  <si>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</si>
  <si>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</si>
  <si>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</si>
  <si>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</si>
  <si>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</si>
  <si>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</si>
  <si>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</si>
  <si>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</si>
  <si>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</si>
  <si>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</si>
  <si>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</si>
  <si>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</si>
  <si>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</si>
  <si>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</si>
  <si>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</si>
  <si>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</si>
  <si>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</si>
  <si>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</si>
  <si>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</si>
  <si>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</si>
  <si>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</si>
  <si>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</si>
  <si>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</si>
  <si>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</si>
  <si>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</si>
  <si>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</si>
  <si>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</si>
  <si>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</si>
  <si>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</si>
  <si>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</si>
  <si>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</si>
  <si>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</si>
  <si>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</si>
  <si>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</si>
  <si>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</si>
  <si>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</si>
  <si>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</si>
  <si>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</si>
  <si>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</si>
  <si>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</si>
  <si>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</si>
  <si>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</si>
  <si>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</si>
  <si>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</si>
  <si>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</si>
  <si>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</si>
  <si>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</si>
  <si>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</si>
  <si>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</si>
  <si>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</si>
  <si>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</si>
  <si>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</si>
  <si>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</si>
  <si>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</si>
  <si>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</si>
  <si>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</si>
  <si>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</si>
  <si>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</si>
  <si>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</si>
  <si>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</si>
  <si>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</si>
  <si>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</si>
  <si>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</si>
  <si>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</si>
  <si>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</si>
  <si>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</si>
  <si>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</si>
  <si>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</si>
  <si>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</si>
  <si>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</si>
  <si>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</si>
  <si>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</si>
  <si>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</si>
  <si>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</si>
  <si>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</si>
  <si>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</si>
  <si>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</si>
  <si>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</si>
  <si>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</si>
  <si>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</si>
  <si>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</si>
  <si>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</si>
  <si>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</si>
  <si>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</si>
  <si>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</si>
  <si>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</si>
  <si>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</si>
  <si>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</si>
  <si>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</si>
  <si>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</si>
  <si>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</si>
  <si>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</si>
  <si>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</si>
  <si>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</si>
  <si>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</si>
  <si>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</si>
  <si>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</si>
  <si>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</si>
  <si>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</si>
  <si>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</si>
  <si>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</si>
  <si>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</si>
  <si>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</si>
  <si>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</si>
  <si>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</si>
  <si>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</si>
  <si>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</si>
  <si>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</si>
  <si>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</si>
  <si>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</si>
  <si>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</si>
  <si>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</si>
  <si>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</si>
  <si>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</si>
  <si>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</si>
  <si>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</si>
  <si>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</si>
  <si>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</si>
  <si>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</si>
  <si>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</si>
  <si>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</si>
  <si>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</si>
  <si>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</si>
  <si>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</si>
  <si>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</si>
  <si>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</si>
  <si>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</si>
  <si>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</si>
  <si>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</si>
  <si>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</si>
  <si>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</si>
  <si>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</si>
  <si>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</si>
  <si>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</si>
  <si>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</si>
  <si>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</si>
  <si>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</si>
  <si>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</si>
  <si>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</si>
  <si>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</si>
  <si>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</si>
  <si>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</si>
  <si>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</si>
  <si>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</si>
  <si>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</si>
  <si>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</si>
  <si>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</si>
  <si>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</si>
  <si>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</si>
  <si>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</si>
  <si>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</si>
  <si>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</si>
  <si>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</si>
  <si>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</si>
  <si>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</si>
  <si>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</si>
  <si>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</si>
  <si>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</si>
  <si>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</si>
  <si>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</si>
  <si>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</si>
  <si>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</si>
  <si>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</si>
  <si>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</si>
  <si>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</si>
  <si>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</si>
  <si>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</si>
  <si>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</si>
  <si>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</si>
  <si>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</si>
  <si>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</si>
  <si>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</si>
  <si>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</si>
  <si>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</si>
  <si>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</si>
  <si>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</si>
  <si>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</si>
  <si>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</si>
  <si>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</si>
  <si>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</si>
  <si>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</si>
  <si>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</si>
  <si>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</si>
  <si>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</si>
  <si>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</si>
  <si>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</si>
  <si>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</si>
  <si>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</si>
  <si>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</si>
  <si>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</si>
  <si>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</si>
  <si>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</si>
  <si>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</si>
  <si>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</si>
  <si>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</si>
  <si>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</si>
  <si>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</si>
  <si>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</si>
  <si>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</si>
  <si>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</si>
  <si>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</si>
  <si>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</si>
  <si>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</si>
  <si>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</si>
  <si>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</si>
  <si>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</si>
  <si>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</si>
  <si>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</si>
  <si>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</si>
  <si>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</si>
  <si>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</si>
  <si>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</si>
  <si>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</si>
  <si>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</si>
  <si>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</si>
  <si>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</si>
  <si>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</si>
  <si>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</si>
  <si>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</si>
  <si>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</si>
  <si>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</si>
  <si>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</si>
  <si>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</si>
  <si>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</si>
  <si>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</si>
  <si>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</si>
  <si>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</si>
  <si>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</si>
  <si>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</si>
  <si>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</si>
  <si>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</si>
  <si>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</si>
  <si>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</si>
  <si>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</si>
  <si>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</si>
  <si>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</si>
  <si>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</si>
  <si>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</si>
  <si>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</si>
  <si>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</si>
  <si>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</si>
  <si>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</si>
  <si>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</si>
  <si>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</si>
  <si>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</si>
  <si>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</si>
  <si>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</si>
  <si>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</si>
  <si>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</si>
  <si>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</si>
  <si>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</si>
  <si>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</si>
  <si>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</si>
  <si>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</si>
  <si>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</si>
  <si>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</si>
  <si>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</si>
  <si>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</si>
  <si>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</si>
  <si>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</si>
  <si>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</si>
  <si>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</si>
  <si>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</si>
  <si>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</si>
  <si>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</si>
  <si>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</si>
  <si>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</si>
  <si>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</si>
  <si>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</si>
  <si>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</si>
  <si>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</si>
  <si>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</si>
  <si>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</si>
  <si>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</si>
  <si>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</si>
  <si>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</si>
  <si>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</si>
  <si>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</si>
  <si>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</si>
  <si>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</si>
  <si>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</si>
  <si>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</si>
  <si>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</si>
  <si>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</si>
  <si>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</si>
  <si>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</si>
  <si>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</si>
  <si>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</si>
  <si>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</si>
  <si>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</si>
  <si>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</si>
  <si>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</si>
  <si>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</si>
  <si>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</si>
  <si>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</si>
  <si>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</si>
  <si>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</si>
  <si>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</si>
  <si>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</si>
  <si>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</si>
  <si>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</si>
  <si>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</si>
  <si>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</si>
  <si>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</si>
  <si>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</si>
  <si>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</si>
  <si>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</si>
  <si>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</si>
  <si>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</si>
  <si>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</si>
  <si>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</si>
  <si>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</si>
  <si>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</si>
  <si>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</si>
  <si>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</si>
  <si>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</si>
  <si>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</si>
  <si>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</si>
  <si>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</si>
  <si>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</si>
  <si>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</si>
  <si>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</si>
  <si>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</si>
  <si>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</si>
  <si>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</si>
  <si>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</si>
  <si>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</si>
  <si>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</si>
  <si>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</si>
  <si>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</si>
  <si>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</si>
  <si>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</si>
  <si>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</si>
  <si>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</si>
  <si>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</si>
  <si>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</si>
  <si>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</si>
  <si>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</si>
  <si>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</si>
  <si>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</si>
  <si>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</si>
  <si>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</si>
  <si>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</si>
  <si>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</si>
  <si>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</si>
  <si>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</si>
  <si>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</si>
  <si>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</si>
  <si>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</si>
  <si>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</si>
  <si>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</si>
  <si>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</si>
  <si>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</si>
  <si>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</si>
  <si>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</si>
  <si>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</si>
  <si>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</si>
  <si>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</si>
  <si>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</si>
  <si>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</si>
  <si>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</si>
  <si>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</si>
  <si>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</si>
  <si>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</si>
  <si>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</si>
  <si>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</si>
  <si>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</si>
  <si>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</si>
  <si>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</si>
  <si>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</si>
  <si>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</si>
  <si>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</si>
  <si>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</si>
  <si>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</si>
  <si>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</si>
  <si>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</si>
  <si>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</si>
  <si>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</si>
  <si>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</si>
  <si>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</si>
  <si>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</si>
  <si>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</si>
  <si>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</si>
  <si>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</si>
  <si>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</si>
  <si>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</si>
  <si>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</si>
  <si>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</si>
  <si>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</si>
  <si>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</si>
  <si>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</si>
  <si>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</si>
  <si>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</si>
  <si>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</si>
  <si>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</si>
  <si>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</si>
  <si>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</si>
  <si>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</si>
  <si>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</si>
  <si>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</si>
  <si>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</si>
  <si>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</si>
  <si>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</si>
  <si>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</si>
  <si>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</si>
  <si>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</si>
  <si>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</si>
  <si>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</si>
  <si>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</si>
  <si>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</si>
  <si>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</si>
  <si>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</si>
  <si>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</si>
  <si>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</si>
  <si>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</si>
  <si>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</si>
  <si>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</si>
  <si>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</si>
  <si>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</si>
  <si>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</si>
  <si>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</si>
  <si>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</si>
  <si>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</si>
  <si>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</si>
  <si>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</si>
  <si>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</si>
  <si>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</si>
  <si>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</si>
  <si>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</si>
  <si>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</si>
  <si>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</si>
  <si>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</si>
  <si>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</si>
  <si>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</si>
  <si>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</si>
  <si>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</si>
  <si>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</si>
  <si>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</si>
  <si>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</si>
  <si>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</si>
  <si>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</si>
  <si>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</si>
  <si>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</si>
  <si>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</si>
  <si>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</si>
  <si>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</si>
  <si>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</si>
  <si>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</si>
  <si>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</si>
  <si>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</si>
  <si>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</si>
  <si>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</si>
  <si>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</si>
  <si>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</si>
  <si>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</si>
  <si>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</si>
  <si>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</si>
  <si>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</si>
  <si>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</si>
  <si>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</si>
  <si>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</si>
  <si>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</si>
  <si>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</si>
  <si>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</si>
  <si>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</si>
  <si>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</si>
  <si>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</si>
  <si>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</si>
  <si>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</si>
  <si>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</si>
  <si>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</si>
  <si>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</si>
  <si>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</si>
  <si>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</si>
  <si>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</si>
  <si>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</si>
  <si>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</si>
  <si>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</si>
  <si>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</si>
  <si>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</si>
  <si>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</si>
  <si>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</si>
  <si>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</si>
  <si>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</si>
  <si>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</si>
  <si>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</si>
  <si>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</si>
  <si>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</si>
  <si>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</si>
  <si>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</si>
  <si>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</si>
  <si>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</si>
  <si>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</si>
  <si>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</si>
  <si>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</si>
  <si>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</si>
  <si>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</si>
  <si>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</si>
  <si>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</si>
  <si>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</si>
  <si>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</si>
  <si>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</si>
  <si>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</si>
  <si>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</si>
  <si>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</si>
  <si>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</si>
  <si>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</si>
  <si>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</si>
  <si>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</si>
  <si>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</si>
  <si>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</si>
  <si>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</si>
  <si>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</si>
  <si>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</si>
  <si>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</si>
  <si>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</si>
  <si>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</si>
  <si>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</si>
  <si>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</si>
  <si>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</si>
  <si>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</si>
  <si>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</si>
  <si>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</si>
  <si>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</si>
  <si>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</si>
  <si>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</si>
  <si>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</si>
  <si>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</si>
  <si>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</si>
  <si>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</si>
  <si>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</si>
  <si>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</si>
  <si>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</si>
  <si>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</si>
  <si>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</si>
  <si>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</si>
  <si>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</si>
  <si>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</si>
  <si>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</si>
  <si>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</si>
  <si>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</si>
  <si>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</si>
  <si>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</si>
  <si>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</si>
  <si>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</si>
  <si>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</si>
  <si>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</si>
  <si>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</si>
  <si>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</si>
  <si>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</si>
  <si>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</si>
  <si>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</si>
  <si>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</si>
  <si>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</si>
  <si>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</si>
  <si>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</si>
  <si>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</si>
  <si>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</si>
  <si>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</si>
  <si>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</si>
  <si>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</si>
  <si>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</si>
  <si>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</si>
  <si>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</si>
  <si>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</si>
  <si>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</si>
  <si>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</si>
  <si>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</si>
  <si>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</si>
  <si>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</si>
  <si>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</si>
  <si>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</si>
  <si>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</si>
  <si>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</si>
  <si>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</si>
  <si>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</si>
  <si>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</si>
  <si>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</si>
  <si>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</si>
  <si>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</si>
  <si>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</si>
  <si>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</si>
  <si>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</si>
  <si>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</si>
  <si>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</si>
  <si>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</si>
  <si>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</si>
  <si>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</si>
  <si>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</si>
  <si>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</si>
  <si>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</si>
  <si>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</si>
  <si>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</si>
  <si>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</si>
  <si>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</si>
  <si>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</si>
  <si>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</si>
  <si>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</si>
  <si>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</si>
  <si>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</si>
  <si>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</si>
  <si>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</si>
  <si>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</si>
  <si>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</si>
  <si>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</si>
  <si>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</si>
  <si>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</si>
  <si>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</si>
  <si>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</si>
  <si>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</si>
  <si>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</si>
  <si>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</si>
  <si>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</si>
  <si>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</si>
  <si>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</si>
  <si>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</si>
  <si>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</si>
  <si>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</si>
  <si>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</si>
  <si>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</si>
  <si>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</si>
  <si>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</si>
  <si>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</si>
  <si>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</si>
  <si>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</si>
  <si>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</si>
  <si>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</si>
  <si>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</si>
  <si>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</si>
  <si>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</si>
  <si>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</si>
  <si>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</si>
  <si>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</si>
  <si>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</si>
  <si>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</si>
  <si>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</si>
  <si>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</si>
  <si>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</si>
  <si>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</si>
  <si>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</si>
  <si>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</si>
  <si>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</si>
  <si>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</si>
  <si>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</si>
  <si>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</si>
  <si>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</si>
  <si>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</si>
  <si>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</si>
  <si>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</si>
  <si>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</si>
  <si>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</si>
  <si>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</si>
  <si>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</si>
  <si>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</si>
  <si>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</si>
  <si>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</si>
  <si>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</si>
  <si>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</si>
  <si>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</si>
  <si>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</si>
  <si>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</si>
  <si>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</si>
  <si>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</si>
  <si>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</si>
  <si>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</si>
  <si>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</si>
  <si>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</si>
  <si>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</si>
  <si>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</si>
  <si>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</si>
  <si>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</si>
  <si>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</si>
  <si>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</si>
  <si>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</si>
  <si>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</si>
  <si>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</si>
  <si>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</si>
  <si>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</si>
  <si>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</si>
  <si>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</si>
  <si>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</si>
  <si>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</si>
  <si>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</si>
  <si>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</si>
  <si>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</si>
  <si>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</si>
  <si>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</si>
  <si>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</si>
  <si>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</si>
  <si>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</si>
  <si>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</si>
  <si>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</si>
  <si>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</si>
  <si>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</si>
  <si>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</si>
  <si>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</si>
  <si>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</si>
  <si>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</si>
  <si>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</si>
  <si>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</si>
  <si>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</si>
  <si>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</si>
  <si>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</si>
  <si>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</si>
  <si>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</si>
  <si>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</si>
  <si>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</si>
  <si>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</si>
  <si>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</si>
  <si>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</si>
  <si>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</si>
  <si>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</si>
  <si>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</si>
  <si>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</si>
  <si>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</si>
  <si>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</si>
  <si>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</si>
  <si>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</si>
  <si>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</si>
  <si>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</si>
  <si>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</si>
  <si>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</si>
  <si>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</si>
  <si>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</si>
  <si>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</si>
  <si>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</si>
  <si>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</si>
  <si>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</si>
  <si>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</si>
  <si>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</si>
  <si>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</si>
  <si>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</si>
  <si>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</si>
  <si>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</si>
  <si>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</si>
  <si>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</si>
  <si>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</si>
  <si>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</si>
  <si>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</si>
  <si>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</si>
  <si>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</si>
  <si>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</si>
  <si>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</si>
  <si>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</si>
  <si>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</si>
  <si>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</si>
  <si>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</si>
  <si>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</si>
  <si>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</si>
  <si>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</si>
  <si>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</si>
  <si>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</si>
  <si>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</si>
  <si>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</si>
  <si>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</si>
  <si>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</si>
  <si>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</si>
  <si>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</si>
  <si>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</si>
  <si>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</si>
  <si>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</si>
  <si>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</si>
  <si>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</si>
  <si>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</si>
  <si>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</si>
  <si>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</si>
  <si>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</si>
  <si>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</si>
  <si>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</si>
  <si>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</si>
  <si>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</si>
  <si>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</si>
  <si>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</si>
  <si>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</si>
  <si>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</si>
  <si>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</si>
  <si>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</si>
  <si>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</si>
  <si>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</si>
  <si>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</si>
  <si>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</si>
  <si>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</si>
  <si>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</si>
  <si>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</si>
  <si>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</si>
  <si>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</si>
  <si>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</si>
  <si>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</si>
  <si>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</si>
  <si>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</si>
  <si>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</si>
  <si>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</si>
  <si>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</si>
  <si>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</si>
  <si>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</si>
  <si>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</si>
  <si>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</si>
  <si>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</si>
  <si>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</si>
  <si>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</si>
  <si>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</si>
  <si>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</si>
  <si>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</si>
  <si>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</si>
  <si>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</si>
  <si>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</si>
  <si>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</si>
  <si>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</si>
  <si>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</si>
  <si>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</si>
  <si>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</si>
  <si>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</si>
  <si>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</si>
  <si>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</si>
  <si>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</si>
  <si>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</si>
  <si>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</si>
  <si>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</si>
  <si>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</si>
  <si>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</si>
  <si>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</si>
  <si>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</si>
  <si>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</si>
  <si>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</si>
  <si>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</si>
  <si>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</si>
  <si>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</si>
  <si>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</si>
  <si>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</si>
  <si>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</si>
  <si>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</si>
  <si>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</si>
  <si>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</si>
  <si>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</si>
  <si>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</si>
  <si>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</si>
  <si>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</si>
  <si>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</si>
  <si>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</si>
  <si>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</si>
  <si>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</si>
  <si>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</si>
  <si>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</si>
  <si>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</si>
  <si>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</si>
  <si>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</si>
  <si>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</si>
  <si>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</si>
  <si>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</si>
  <si>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</si>
  <si>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</si>
  <si>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</si>
  <si>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</si>
  <si>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</si>
  <si>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</si>
  <si>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</si>
  <si>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</si>
  <si>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</si>
  <si>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</si>
  <si>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</si>
  <si>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</si>
  <si>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</si>
  <si>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</si>
  <si>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</si>
  <si>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</si>
  <si>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</si>
  <si>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</si>
  <si>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</si>
  <si>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</si>
  <si>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</si>
  <si>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</si>
  <si>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</si>
  <si>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</si>
  <si>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</si>
  <si>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</si>
  <si>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</si>
  <si>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</si>
  <si>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</si>
  <si>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</si>
  <si>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</si>
  <si>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</si>
  <si>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</si>
  <si>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</si>
  <si>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</si>
  <si>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</si>
  <si>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</si>
  <si>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</si>
  <si>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</si>
  <si>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</si>
  <si>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</si>
  <si>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</si>
  <si>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</si>
  <si>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</si>
  <si>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</si>
  <si>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</si>
  <si>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</si>
  <si>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</si>
  <si>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</si>
  <si>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</si>
  <si>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</si>
  <si>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</si>
  <si>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</si>
  <si>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</si>
  <si>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</si>
  <si>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</si>
  <si>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</si>
  <si>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</si>
  <si>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</si>
  <si>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</si>
  <si>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</si>
  <si>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</si>
  <si>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</si>
  <si>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</si>
  <si>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</si>
  <si>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</si>
  <si>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</si>
  <si>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</si>
  <si>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</si>
  <si>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</si>
  <si>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</si>
  <si>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</si>
  <si>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</si>
  <si>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</si>
  <si>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</si>
  <si>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</si>
  <si>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</si>
  <si>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</si>
  <si>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</si>
  <si>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</si>
  <si>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</si>
  <si>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</si>
  <si>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</si>
  <si>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</si>
  <si>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</si>
  <si>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</si>
  <si>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</si>
  <si>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</si>
  <si>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</si>
  <si>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</si>
  <si>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</si>
  <si>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</si>
  <si>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</si>
  <si>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</si>
  <si>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</si>
  <si>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</si>
  <si>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</si>
  <si>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</si>
  <si>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</si>
  <si>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</si>
  <si>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</si>
  <si>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</si>
  <si>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</si>
  <si>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</si>
  <si>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</si>
  <si>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</si>
  <si>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</si>
  <si>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</si>
  <si>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</si>
  <si>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</si>
  <si>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</si>
  <si>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</si>
  <si>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</si>
  <si>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</si>
  <si>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</si>
  <si>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</si>
  <si>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</si>
  <si>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</si>
  <si>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</si>
  <si>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</si>
  <si>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</si>
  <si>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</si>
  <si>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</si>
  <si>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</si>
  <si>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</si>
  <si>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</si>
  <si>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</si>
  <si>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</si>
  <si>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</si>
  <si>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</si>
  <si>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</si>
  <si>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</si>
  <si>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</si>
  <si>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</si>
  <si>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</si>
  <si>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</si>
  <si>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</si>
  <si>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</si>
  <si>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</si>
  <si>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</si>
  <si>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</si>
  <si>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</si>
  <si>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</si>
  <si>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</si>
  <si>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</si>
  <si>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</si>
  <si>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</si>
  <si>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</si>
  <si>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</si>
  <si>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</si>
  <si>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</si>
  <si>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</si>
  <si>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</si>
  <si>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</si>
  <si>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</si>
  <si>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</si>
  <si>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</si>
  <si>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</si>
  <si>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</si>
  <si>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</si>
  <si>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</si>
  <si>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</si>
  <si>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</si>
  <si>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</si>
  <si>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</si>
  <si>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</si>
  <si>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</si>
  <si>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</si>
  <si>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</si>
  <si>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</si>
  <si>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</si>
  <si>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</si>
  <si>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</si>
  <si>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</si>
  <si>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</si>
  <si>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</si>
  <si>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</si>
  <si>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</si>
  <si>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</si>
  <si>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</si>
  <si>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</si>
  <si>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</si>
  <si>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</si>
  <si>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</si>
  <si>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</si>
  <si>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</si>
  <si>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</si>
  <si>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</si>
  <si>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</si>
  <si>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</si>
  <si>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</si>
  <si>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</si>
  <si>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</si>
  <si>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</si>
  <si>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</si>
  <si>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</si>
  <si>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</si>
  <si>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</si>
  <si>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</si>
  <si>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</si>
  <si>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</si>
  <si>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</si>
  <si>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</si>
  <si>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</si>
  <si>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</si>
  <si>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</si>
  <si>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</si>
  <si>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</si>
  <si>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</si>
  <si>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</si>
  <si>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</si>
  <si>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</si>
  <si>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</si>
  <si>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</si>
  <si>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</si>
  <si>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</si>
  <si>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</si>
  <si>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</si>
  <si>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</si>
  <si>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</si>
  <si>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</si>
  <si>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</si>
  <si>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</si>
  <si>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</si>
  <si>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</si>
  <si>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</si>
  <si>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</si>
  <si>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</si>
  <si>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</si>
  <si>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</si>
  <si>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</si>
  <si>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</si>
  <si>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</si>
  <si>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</si>
  <si>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</si>
  <si>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</si>
  <si>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</si>
  <si>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</si>
  <si>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</si>
  <si>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</si>
  <si>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</si>
  <si>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</si>
  <si>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</si>
  <si>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</si>
  <si>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</si>
  <si>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</si>
  <si>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</si>
  <si>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</si>
  <si>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</si>
  <si>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</si>
  <si>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</si>
  <si>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</si>
  <si>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</si>
  <si>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</si>
  <si>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</si>
  <si>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</si>
  <si>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</si>
  <si>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</si>
  <si>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</si>
  <si>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</si>
  <si>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</si>
  <si>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</si>
  <si>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</si>
  <si>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</si>
  <si>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</si>
  <si>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</si>
  <si>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</si>
  <si>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</si>
  <si>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</si>
  <si>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</si>
  <si>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</si>
  <si>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</si>
  <si>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</si>
  <si>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</si>
  <si>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</si>
  <si>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</si>
  <si>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</si>
  <si>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</si>
  <si>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</si>
  <si>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</si>
  <si>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</si>
  <si>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</si>
  <si>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</si>
  <si>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</si>
  <si>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</si>
  <si>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</si>
  <si>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</si>
  <si>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</si>
  <si>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</si>
  <si>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</si>
  <si>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</si>
  <si>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</si>
  <si>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</si>
  <si>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</si>
  <si>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</si>
  <si>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</si>
  <si>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</si>
  <si>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</si>
  <si>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</si>
  <si>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</si>
  <si>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</si>
  <si>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</si>
  <si>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</si>
  <si>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</si>
  <si>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Реклоузер</t>
  </si>
  <si>
    <t xml:space="preserve">Расчет начальной максимальной цены лота на выполнение работ по объекту: 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</si>
  <si>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</si>
  <si>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</si>
  <si>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</si>
  <si>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</si>
  <si>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</si>
  <si>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</si>
  <si>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</si>
  <si>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</si>
  <si>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</si>
  <si>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</si>
  <si>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</si>
  <si>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</si>
  <si>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</si>
  <si>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</si>
  <si>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</si>
  <si>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</si>
  <si>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</si>
  <si>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</si>
  <si>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</si>
  <si>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</si>
  <si>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</si>
  <si>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</si>
  <si>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</si>
  <si>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</si>
  <si>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Исполняющий обязанности главного инженера Беляев Р.А.</t>
  </si>
  <si>
    <t>объем квл</t>
  </si>
  <si>
    <t>ЛОТ (ПИР)</t>
  </si>
  <si>
    <t>зарплата</t>
  </si>
  <si>
    <t>ЛОТ (СМР)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</si>
  <si>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</si>
  <si>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</si>
  <si>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</si>
  <si>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</si>
  <si>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</si>
  <si>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 xml:space="preserve">Реконструкция ВЛ 10 кВ яч.5Д ПС 110/10 кВ «Мордино» с заменой неизолированного провода на СИП протяженностью 14,75 км  в Корткеросском районе </t>
  </si>
  <si>
    <t>га</t>
  </si>
  <si>
    <t>Расчет оценки полной стоимости инвестиционного проекта в прогнозных ценах соответствующих лет по ИП №</t>
  </si>
  <si>
    <t>I_007-55-1-01.32-1876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</si>
  <si>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</si>
  <si>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</si>
  <si>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</si>
  <si>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</si>
  <si>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</si>
  <si>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</si>
  <si>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</si>
  <si>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Сборник УПС ОАО «МРСК СЗ» распоряжение №26р от 09.02.2012г.</t>
  </si>
  <si>
    <t>Коммерческое предложение ООО "Электроперспектива" от 22.01.2018 г.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</si>
  <si>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</si>
  <si>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</si>
  <si>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</si>
  <si>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</si>
  <si>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</si>
  <si>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</si>
  <si>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</si>
  <si>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</si>
  <si>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</si>
  <si>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</si>
  <si>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</si>
  <si>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</si>
  <si>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</si>
  <si>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</si>
  <si>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</si>
  <si>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</si>
  <si>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10 кВ яч.5Д ПС 110/10 кВ «Мордино» с заменой неизолированного провода на СИП протяженностью 14,75 км в Корткеросском районе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</si>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</sst>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  <numFmt numFmtId="182" formatCode="#,##0.000000"/>
    <numFmt numFmtId="183" formatCode="_-* #,##0.000\ _₽_-;\-* #,##0.000\ _₽_-;_-* &quot;-&quot;\ _₽_-;_-@_-"/>
    <numFmt numFmtId="184" formatCode="_-* #,##0.00000\ _₽_-;\-* #,##0.00000\ _₽_-;_-* &quot;-&quot;??\ _₽_-;_-@_-"/>
    <numFmt numFmtId="185" formatCode="_-* #,##0.00\ _₽_-;\-* #,##0.00\ _₽_-;_-* &quot;-&quot;\ _₽_-;_-@_-"/>
    <numFmt numFmtId="186" formatCode="_-* #,##0.000\ _₽_-;\-* #,##0.000\ _₽_-;_-* &quot;-&quot;??\ _₽_-;_-@_-"/>
  </numFmts>
  <fonts count="5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24" fillId="0" borderId="0"/>
    <xf numFmtId="0" fontId="24" fillId="0" borderId="0"/>
    <xf numFmtId="0" fontId="33" fillId="0" borderId="0"/>
    <xf numFmtId="0" fontId="37" fillId="0" borderId="0">
      <alignment horizontal="left" vertical="top"/>
    </xf>
    <xf numFmtId="0" fontId="38" fillId="0" borderId="0">
      <alignment horizontal="left" vertical="top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8" fillId="0" borderId="0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39" fillId="0" borderId="0">
      <alignment horizontal="right" vertical="top"/>
    </xf>
    <xf numFmtId="0" fontId="38" fillId="0" borderId="2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/>
    </xf>
    <xf numFmtId="0" fontId="38" fillId="0" borderId="0">
      <alignment horizontal="left" vertical="top"/>
    </xf>
    <xf numFmtId="0" fontId="41" fillId="0" borderId="0"/>
    <xf numFmtId="0" fontId="24" fillId="0" borderId="0"/>
  </cellStyleXfs>
  <cellXfs count="830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15" fillId="0" borderId="0" xfId="0" applyFont="1" applyAlignment="1" applyProtection="1">
      <alignment horizontal="right"/>
      <protection locked="0" hidden="1"/>
    </xf>
    <xf numFmtId="9" fontId="15" fillId="0" borderId="0" xfId="0" applyNumberFormat="1" applyFont="1" applyBorder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3" fontId="15" fillId="0" borderId="25" xfId="0" applyNumberFormat="1" applyFont="1" applyBorder="1" applyAlignment="1" applyProtection="1">
      <alignment horizontal="right" vertical="center" wrapText="1"/>
    </xf>
    <xf numFmtId="173" fontId="15" fillId="0" borderId="31" xfId="0" applyNumberFormat="1" applyFont="1" applyBorder="1" applyAlignment="1" applyProtection="1">
      <alignment horizontal="right" vertical="center" wrapText="1"/>
    </xf>
    <xf numFmtId="173" fontId="9" fillId="0" borderId="25" xfId="0" applyNumberFormat="1" applyFont="1" applyBorder="1" applyAlignment="1" applyProtection="1">
      <alignment horizontal="right" vertical="center" wrapText="1"/>
    </xf>
    <xf numFmtId="4" fontId="9" fillId="12" borderId="1" xfId="0" applyNumberFormat="1" applyFont="1" applyFill="1" applyBorder="1" applyAlignment="1"/>
    <xf numFmtId="0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Border="1" applyAlignment="1" applyProtection="1">
      <alignment wrapText="1"/>
      <protection locked="0"/>
    </xf>
    <xf numFmtId="0" fontId="32" fillId="0" borderId="1" xfId="2" applyFont="1" applyBorder="1" applyAlignment="1">
      <alignment horizontal="center" vertical="center" wrapText="1"/>
    </xf>
    <xf numFmtId="0" fontId="32" fillId="0" borderId="1" xfId="2" applyFont="1" applyBorder="1" applyAlignment="1">
      <alignment vertical="center" wrapText="1"/>
    </xf>
    <xf numFmtId="181" fontId="32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/>
    <xf numFmtId="182" fontId="25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vertical="center" wrapText="1"/>
    </xf>
    <xf numFmtId="181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181" fontId="24" fillId="0" borderId="1" xfId="2" applyNumberFormat="1" applyFont="1" applyBorder="1" applyAlignment="1">
      <alignment horizontal="center"/>
    </xf>
    <xf numFmtId="168" fontId="7" fillId="0" borderId="1" xfId="2" applyNumberFormat="1" applyFont="1" applyBorder="1" applyAlignment="1">
      <alignment horizontal="center" vertical="center" wrapText="1"/>
    </xf>
    <xf numFmtId="167" fontId="24" fillId="0" borderId="1" xfId="2" applyNumberFormat="1" applyBorder="1"/>
    <xf numFmtId="171" fontId="24" fillId="0" borderId="1" xfId="2" applyNumberFormat="1" applyFont="1" applyBorder="1"/>
    <xf numFmtId="0" fontId="24" fillId="0" borderId="1" xfId="2" applyFont="1" applyBorder="1"/>
    <xf numFmtId="181" fontId="7" fillId="0" borderId="1" xfId="2" applyNumberFormat="1" applyFont="1" applyBorder="1" applyAlignment="1">
      <alignment horizontal="center" vertical="center" wrapText="1"/>
    </xf>
    <xf numFmtId="168" fontId="24" fillId="0" borderId="1" xfId="2" applyNumberFormat="1" applyFont="1" applyBorder="1"/>
    <xf numFmtId="0" fontId="34" fillId="17" borderId="1" xfId="3" applyFont="1" applyFill="1" applyBorder="1" applyAlignment="1">
      <alignment horizontal="center" vertical="center" wrapText="1"/>
    </xf>
    <xf numFmtId="0" fontId="35" fillId="17" borderId="1" xfId="3" applyFont="1" applyFill="1" applyBorder="1" applyAlignment="1">
      <alignment horizontal="center" vertical="center" wrapText="1"/>
    </xf>
    <xf numFmtId="168" fontId="36" fillId="0" borderId="1" xfId="2" applyNumberFormat="1" applyFont="1" applyBorder="1" applyAlignment="1">
      <alignment horizontal="center" vertical="center" wrapText="1"/>
    </xf>
    <xf numFmtId="168" fontId="36" fillId="18" borderId="1" xfId="2" applyNumberFormat="1" applyFont="1" applyFill="1" applyBorder="1" applyAlignment="1">
      <alignment horizontal="center" vertical="center" wrapText="1"/>
    </xf>
    <xf numFmtId="167" fontId="36" fillId="0" borderId="1" xfId="2" applyNumberFormat="1" applyFont="1" applyBorder="1" applyAlignment="1">
      <alignment horizontal="center" vertical="center" wrapText="1"/>
    </xf>
    <xf numFmtId="14" fontId="3" fillId="0" borderId="0" xfId="0" applyNumberFormat="1" applyFont="1" applyBorder="1" applyProtection="1">
      <protection locked="0"/>
    </xf>
    <xf numFmtId="0" fontId="43" fillId="0" borderId="1" xfId="0" applyFont="1" applyBorder="1"/>
    <xf numFmtId="0" fontId="3" fillId="18" borderId="1" xfId="0" applyFont="1" applyFill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18" borderId="1" xfId="0" applyFont="1" applyFill="1" applyBorder="1" applyAlignment="1" applyProtection="1">
      <alignment wrapText="1"/>
      <protection locked="0"/>
    </xf>
    <xf numFmtId="0" fontId="3" fillId="18" borderId="1" xfId="0" applyFont="1" applyFill="1" applyBorder="1" applyAlignment="1" applyProtection="1">
      <alignment wrapText="1"/>
      <protection locked="0"/>
    </xf>
    <xf numFmtId="0" fontId="3" fillId="18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/>
    <xf numFmtId="184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4" fillId="0" borderId="0" xfId="0" applyFont="1" applyProtection="1">
      <protection locked="0"/>
    </xf>
    <xf numFmtId="0" fontId="44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9" fillId="0" borderId="25" xfId="0" applyFont="1" applyBorder="1" applyAlignment="1" applyProtection="1">
      <alignment horizontal="center" vertical="center" wrapText="1"/>
      <protection locked="0"/>
    </xf>
    <xf numFmtId="0" fontId="49" fillId="0" borderId="26" xfId="0" applyFont="1" applyBorder="1" applyAlignment="1" applyProtection="1">
      <alignment horizontal="center" vertical="center" wrapText="1"/>
      <protection locked="0"/>
    </xf>
    <xf numFmtId="0" fontId="49" fillId="0" borderId="30" xfId="0" applyFont="1" applyBorder="1" applyAlignment="1" applyProtection="1">
      <alignment horizontal="center" vertical="center" wrapText="1"/>
      <protection locked="0"/>
    </xf>
    <xf numFmtId="0" fontId="49" fillId="0" borderId="31" xfId="0" applyFont="1" applyBorder="1" applyAlignment="1" applyProtection="1">
      <alignment horizontal="center" vertical="center" wrapText="1"/>
      <protection locked="0"/>
    </xf>
    <xf numFmtId="0" fontId="48" fillId="0" borderId="26" xfId="0" applyFont="1" applyBorder="1" applyAlignment="1" applyProtection="1">
      <alignment horizontal="center" vertical="center" wrapText="1"/>
      <protection locked="0"/>
    </xf>
    <xf numFmtId="0" fontId="48" fillId="0" borderId="30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8" fillId="0" borderId="15" xfId="0" applyFont="1" applyBorder="1" applyAlignment="1" applyProtection="1">
      <alignment horizontal="center" vertical="center" wrapText="1"/>
      <protection locked="0"/>
    </xf>
    <xf numFmtId="0" fontId="48" fillId="0" borderId="10" xfId="0" applyFont="1" applyBorder="1" applyAlignment="1" applyProtection="1">
      <alignment horizontal="center" vertical="center" wrapText="1"/>
      <protection locked="0"/>
    </xf>
    <xf numFmtId="0" fontId="48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85" fontId="5" fillId="0" borderId="34" xfId="0" applyNumberFormat="1" applyFont="1" applyBorder="1" applyAlignment="1" applyProtection="1">
      <alignment vertical="center" wrapText="1"/>
      <protection locked="0"/>
    </xf>
    <xf numFmtId="185" fontId="5" fillId="0" borderId="26" xfId="0" applyNumberFormat="1" applyFont="1" applyBorder="1" applyAlignment="1" applyProtection="1">
      <alignment horizontal="center" vertical="center" wrapText="1"/>
      <protection locked="0"/>
    </xf>
    <xf numFmtId="185" fontId="5" fillId="0" borderId="30" xfId="0" applyNumberFormat="1" applyFont="1" applyBorder="1" applyAlignment="1" applyProtection="1">
      <alignment horizontal="center" vertical="center" wrapText="1"/>
      <protection locked="0"/>
    </xf>
    <xf numFmtId="185" fontId="5" fillId="0" borderId="31" xfId="0" applyNumberFormat="1" applyFont="1" applyBorder="1" applyAlignment="1" applyProtection="1">
      <alignment horizontal="center" vertical="center" wrapText="1"/>
      <protection locked="0"/>
    </xf>
    <xf numFmtId="185" fontId="5" fillId="0" borderId="36" xfId="0" applyNumberFormat="1" applyFont="1" applyBorder="1" applyAlignment="1" applyProtection="1">
      <alignment horizontal="center" vertical="center" wrapText="1"/>
      <protection locked="0"/>
    </xf>
    <xf numFmtId="185" fontId="5" fillId="0" borderId="34" xfId="0" applyNumberFormat="1" applyFont="1" applyBorder="1" applyAlignment="1" applyProtection="1">
      <alignment horizontal="center" vertical="center" wrapText="1"/>
      <protection locked="0"/>
    </xf>
    <xf numFmtId="185" fontId="45" fillId="0" borderId="35" xfId="0" applyNumberFormat="1" applyFont="1" applyBorder="1" applyAlignment="1" applyProtection="1">
      <alignment horizontal="center" vertical="center" wrapText="1"/>
      <protection locked="0"/>
    </xf>
    <xf numFmtId="185" fontId="45" fillId="0" borderId="31" xfId="0" applyNumberFormat="1" applyFont="1" applyBorder="1" applyAlignment="1" applyProtection="1">
      <alignment horizontal="center" vertical="center" wrapText="1"/>
      <protection locked="0"/>
    </xf>
    <xf numFmtId="186" fontId="47" fillId="0" borderId="0" xfId="0" applyNumberFormat="1" applyFont="1" applyProtection="1">
      <protection locked="0"/>
    </xf>
    <xf numFmtId="43" fontId="47" fillId="0" borderId="0" xfId="0" applyNumberFormat="1" applyFont="1" applyAlignment="1" applyProtection="1">
      <alignment horizontal="center" vertical="center"/>
      <protection locked="0"/>
    </xf>
    <xf numFmtId="43" fontId="47" fillId="0" borderId="0" xfId="0" applyNumberFormat="1" applyFont="1" applyProtection="1">
      <protection locked="0"/>
    </xf>
    <xf numFmtId="0" fontId="46" fillId="0" borderId="0" xfId="0" applyFont="1" applyBorder="1" applyAlignment="1" applyProtection="1">
      <alignment horizontal="center" vertical="center"/>
      <protection locked="0"/>
    </xf>
    <xf numFmtId="164" fontId="46" fillId="0" borderId="0" xfId="0" applyNumberFormat="1" applyFont="1" applyBorder="1" applyAlignment="1" applyProtection="1">
      <alignment horizontal="center" vertical="center" wrapText="1"/>
      <protection hidden="1"/>
    </xf>
    <xf numFmtId="185" fontId="46" fillId="0" borderId="0" xfId="0" applyNumberFormat="1" applyFont="1" applyBorder="1" applyAlignment="1" applyProtection="1">
      <alignment horizontal="center" vertical="center"/>
      <protection locked="0"/>
    </xf>
    <xf numFmtId="183" fontId="46" fillId="0" borderId="0" xfId="0" applyNumberFormat="1" applyFont="1" applyBorder="1" applyAlignment="1" applyProtection="1">
      <alignment horizontal="center" vertical="center"/>
      <protection locked="0"/>
    </xf>
    <xf numFmtId="0" fontId="46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4" fontId="9" fillId="0" borderId="1" xfId="0" applyNumberFormat="1" applyFont="1" applyBorder="1" applyAlignment="1">
      <alignment horizont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wrapText="1"/>
      <protection locked="0" hidden="1"/>
    </xf>
    <xf numFmtId="0" fontId="0" fillId="0" borderId="0" xfId="0" applyAlignment="1">
      <alignment wrapText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 wrapText="1"/>
    </xf>
    <xf numFmtId="0" fontId="34" fillId="4" borderId="4" xfId="3" applyFont="1" applyFill="1" applyBorder="1" applyAlignment="1" applyProtection="1">
      <alignment horizontal="center" vertical="center" wrapText="1"/>
    </xf>
    <xf numFmtId="0" fontId="34" fillId="4" borderId="3" xfId="3" applyFont="1" applyFill="1" applyBorder="1" applyAlignment="1" applyProtection="1">
      <alignment horizontal="center" vertical="center" wrapText="1"/>
    </xf>
    <xf numFmtId="0" fontId="34" fillId="17" borderId="6" xfId="3" applyFont="1" applyFill="1" applyBorder="1" applyAlignment="1">
      <alignment horizontal="center" vertical="center" wrapText="1"/>
    </xf>
    <xf numFmtId="0" fontId="34" fillId="17" borderId="7" xfId="3" applyFont="1" applyFill="1" applyBorder="1" applyAlignment="1">
      <alignment horizontal="center" vertical="center" wrapText="1"/>
    </xf>
    <xf numFmtId="0" fontId="34" fillId="17" borderId="5" xfId="3" applyFont="1" applyFill="1" applyBorder="1" applyAlignment="1">
      <alignment horizontal="center" vertical="center" wrapText="1"/>
    </xf>
    <xf numFmtId="0" fontId="35" fillId="17" borderId="4" xfId="3" applyFont="1" applyFill="1" applyBorder="1" applyAlignment="1">
      <alignment horizontal="center" vertical="center" wrapText="1"/>
    </xf>
    <xf numFmtId="0" fontId="35" fillId="17" borderId="3" xfId="3" applyFont="1" applyFill="1" applyBorder="1" applyAlignment="1">
      <alignment horizontal="center" vertical="center" wrapText="1"/>
    </xf>
    <xf numFmtId="0" fontId="35" fillId="17" borderId="6" xfId="3" applyFont="1" applyFill="1" applyBorder="1" applyAlignment="1">
      <alignment horizontal="center" vertical="center" wrapText="1"/>
    </xf>
    <xf numFmtId="0" fontId="35" fillId="17" borderId="7" xfId="3" applyFont="1" applyFill="1" applyBorder="1" applyAlignment="1">
      <alignment horizontal="center" vertical="center" wrapText="1"/>
    </xf>
    <xf numFmtId="0" fontId="35" fillId="17" borderId="5" xfId="3" applyFont="1" applyFill="1" applyBorder="1" applyAlignment="1">
      <alignment horizontal="center" vertical="center" wrapText="1"/>
    </xf>
    <xf numFmtId="179" fontId="15" fillId="0" borderId="4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1" fillId="0" borderId="21" xfId="0" applyFont="1" applyBorder="1" applyAlignment="1" applyProtection="1">
      <alignment horizontal="center" vertical="center" wrapText="1"/>
      <protection locked="0" hidden="1"/>
    </xf>
    <xf numFmtId="0" fontId="31" fillId="0" borderId="1" xfId="0" applyFont="1" applyBorder="1" applyAlignment="1" applyProtection="1">
      <alignment horizontal="center" vertical="center" wrapText="1"/>
      <protection locked="0" hidden="1"/>
    </xf>
    <xf numFmtId="0" fontId="31" fillId="0" borderId="30" xfId="0" applyFont="1" applyBorder="1" applyAlignment="1" applyProtection="1">
      <alignment horizontal="center" vertical="center" wrapText="1"/>
      <protection locked="0" hidden="1"/>
    </xf>
    <xf numFmtId="0" fontId="31" fillId="0" borderId="22" xfId="0" applyFont="1" applyBorder="1" applyAlignment="1" applyProtection="1">
      <alignment horizontal="center" vertical="center" wrapText="1"/>
      <protection locked="0" hidden="1"/>
    </xf>
    <xf numFmtId="0" fontId="31" fillId="0" borderId="25" xfId="0" applyFont="1" applyBorder="1" applyAlignment="1" applyProtection="1">
      <alignment horizontal="center" vertical="center" wrapText="1"/>
      <protection locked="0" hidden="1"/>
    </xf>
    <xf numFmtId="0" fontId="31" fillId="0" borderId="31" xfId="0" applyFont="1" applyBorder="1" applyAlignment="1" applyProtection="1">
      <alignment horizontal="center" vertical="center" wrapText="1"/>
      <protection locked="0"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3" fontId="15" fillId="0" borderId="38" xfId="0" applyNumberFormat="1" applyFont="1" applyBorder="1" applyAlignment="1" applyProtection="1">
      <alignment horizontal="center" vertical="center" wrapText="1"/>
    </xf>
    <xf numFmtId="173" fontId="15" fillId="0" borderId="39" xfId="0" applyNumberFormat="1" applyFont="1" applyBorder="1" applyAlignment="1" applyProtection="1">
      <alignment horizontal="center" vertical="center" wrapText="1"/>
    </xf>
    <xf numFmtId="173" fontId="15" fillId="0" borderId="40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29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0" fillId="0" borderId="17" xfId="0" applyFont="1" applyBorder="1" applyAlignment="1" applyProtection="1">
      <alignment horizontal="center" vertical="center" wrapText="1"/>
      <protection hidden="1"/>
    </xf>
    <xf numFmtId="0" fontId="30" fillId="0" borderId="23" xfId="0" applyFont="1" applyBorder="1" applyAlignment="1" applyProtection="1">
      <alignment horizontal="center" vertical="center" wrapText="1"/>
      <protection hidden="1"/>
    </xf>
    <xf numFmtId="0" fontId="30" fillId="0" borderId="26" xfId="0" applyFont="1" applyBorder="1" applyAlignment="1" applyProtection="1">
      <alignment horizontal="center" vertical="center" wrapText="1"/>
      <protection hidden="1"/>
    </xf>
    <xf numFmtId="49" fontId="30" fillId="0" borderId="18" xfId="0" applyNumberFormat="1" applyFont="1" applyBorder="1" applyAlignment="1" applyProtection="1">
      <alignment horizontal="center" vertical="center" wrapText="1"/>
      <protection hidden="1"/>
    </xf>
    <xf numFmtId="49" fontId="30" fillId="0" borderId="19" xfId="0" applyNumberFormat="1" applyFont="1" applyBorder="1" applyAlignment="1" applyProtection="1">
      <alignment horizontal="center" vertical="center" wrapText="1"/>
      <protection hidden="1"/>
    </xf>
    <xf numFmtId="49" fontId="30" fillId="0" borderId="20" xfId="0" applyNumberFormat="1" applyFont="1" applyBorder="1" applyAlignment="1" applyProtection="1">
      <alignment horizontal="center" vertical="center" wrapText="1"/>
      <protection hidden="1"/>
    </xf>
    <xf numFmtId="49" fontId="30" fillId="0" borderId="16" xfId="0" applyNumberFormat="1" applyFont="1" applyBorder="1" applyAlignment="1" applyProtection="1">
      <alignment horizontal="center" vertical="center" wrapText="1"/>
      <protection hidden="1"/>
    </xf>
    <xf numFmtId="49" fontId="30" fillId="0" borderId="0" xfId="0" applyNumberFormat="1" applyFont="1" applyBorder="1" applyAlignment="1" applyProtection="1">
      <alignment horizontal="center" vertical="center" wrapText="1"/>
      <protection hidden="1"/>
    </xf>
    <xf numFmtId="49" fontId="30" fillId="0" borderId="24" xfId="0" applyNumberFormat="1" applyFont="1" applyBorder="1" applyAlignment="1" applyProtection="1">
      <alignment horizontal="center" vertical="center" wrapText="1"/>
      <protection hidden="1"/>
    </xf>
    <xf numFmtId="49" fontId="30" fillId="0" borderId="27" xfId="0" applyNumberFormat="1" applyFont="1" applyBorder="1" applyAlignment="1" applyProtection="1">
      <alignment horizontal="center" vertical="center" wrapText="1"/>
      <protection hidden="1"/>
    </xf>
    <xf numFmtId="49" fontId="30" fillId="0" borderId="28" xfId="0" applyNumberFormat="1" applyFont="1" applyBorder="1" applyAlignment="1" applyProtection="1">
      <alignment horizontal="center" vertical="center" wrapText="1"/>
      <protection hidden="1"/>
    </xf>
    <xf numFmtId="49" fontId="30" fillId="0" borderId="29" xfId="0" applyNumberFormat="1" applyFont="1" applyBorder="1" applyAlignment="1" applyProtection="1">
      <alignment horizontal="center"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49" fillId="0" borderId="48" xfId="0" applyFont="1" applyBorder="1" applyAlignment="1" applyProtection="1">
      <alignment horizontal="center" vertical="center" wrapText="1"/>
      <protection locked="0"/>
    </xf>
    <xf numFmtId="0" fontId="49" fillId="0" borderId="7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 applyProtection="1">
      <alignment horizontal="center" vertical="center" wrapText="1"/>
      <protection locked="0"/>
    </xf>
    <xf numFmtId="0" fontId="49" fillId="0" borderId="49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24" fillId="0" borderId="0" xfId="21" applyAlignment="1">
      <alignment horizontal="left" vertical="center" wrapText="1"/>
    </xf>
    <xf numFmtId="0" fontId="44" fillId="0" borderId="0" xfId="0" applyFont="1" applyAlignment="1" applyProtection="1">
      <alignment horizontal="center" vertical="center" wrapText="1"/>
      <protection locked="0"/>
    </xf>
    <xf numFmtId="0" fontId="44" fillId="0" borderId="0" xfId="0" applyFont="1" applyAlignment="1" applyProtection="1">
      <alignment wrapText="1"/>
      <protection locked="0"/>
    </xf>
    <xf numFmtId="0" fontId="45" fillId="0" borderId="43" xfId="0" applyFont="1" applyBorder="1" applyAlignment="1" applyProtection="1">
      <alignment horizontal="center" vertical="center" wrapText="1"/>
      <protection locked="0"/>
    </xf>
    <xf numFmtId="0" fontId="45" fillId="0" borderId="41" xfId="0" applyFont="1" applyBorder="1" applyAlignment="1" applyProtection="1">
      <alignment horizontal="center" vertical="center" wrapText="1"/>
      <protection locked="0"/>
    </xf>
    <xf numFmtId="0" fontId="45" fillId="0" borderId="51" xfId="0" applyFont="1" applyBorder="1" applyAlignment="1" applyProtection="1">
      <alignment horizontal="center" vertical="center" wrapText="1"/>
      <protection locked="0"/>
    </xf>
    <xf numFmtId="0" fontId="45" fillId="0" borderId="37" xfId="0" applyFont="1" applyBorder="1" applyAlignment="1" applyProtection="1">
      <alignment horizontal="center" vertical="center" wrapText="1"/>
      <protection locked="0"/>
    </xf>
    <xf numFmtId="0" fontId="45" fillId="0" borderId="10" xfId="0" applyFont="1" applyBorder="1" applyAlignment="1" applyProtection="1">
      <alignment horizontal="center" vertical="center" wrapText="1"/>
      <protection locked="0"/>
    </xf>
    <xf numFmtId="0" fontId="45" fillId="0" borderId="52" xfId="0" applyFont="1" applyBorder="1" applyAlignment="1" applyProtection="1">
      <alignment horizontal="center" vertical="center" wrapText="1"/>
      <protection locked="0"/>
    </xf>
    <xf numFmtId="0" fontId="45" fillId="0" borderId="38" xfId="0" applyFont="1" applyBorder="1" applyAlignment="1" applyProtection="1">
      <alignment horizontal="center" vertical="center" wrapText="1"/>
      <protection locked="0"/>
    </xf>
    <xf numFmtId="0" fontId="45" fillId="0" borderId="39" xfId="0" applyFont="1" applyBorder="1" applyAlignment="1" applyProtection="1">
      <alignment horizontal="center" vertical="center" wrapText="1"/>
      <protection locked="0"/>
    </xf>
    <xf numFmtId="0" fontId="45" fillId="0" borderId="53" xfId="0" applyFont="1" applyBorder="1" applyAlignment="1" applyProtection="1">
      <alignment horizontal="center" vertical="center" wrapText="1"/>
      <protection locked="0"/>
    </xf>
    <xf numFmtId="0" fontId="48" fillId="0" borderId="17" xfId="0" applyFont="1" applyBorder="1" applyAlignment="1" applyProtection="1">
      <alignment horizontal="center" vertical="center" wrapText="1"/>
      <protection locked="0"/>
    </xf>
    <xf numFmtId="0" fontId="48" fillId="0" borderId="21" xfId="0" applyFont="1" applyBorder="1" applyAlignment="1" applyProtection="1">
      <alignment horizontal="center" vertical="center" wrapText="1"/>
      <protection locked="0"/>
    </xf>
    <xf numFmtId="0" fontId="48" fillId="0" borderId="22" xfId="0" applyFont="1" applyBorder="1" applyAlignment="1" applyProtection="1">
      <alignment horizontal="center" vertical="center" wrapText="1"/>
      <protection locked="0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9" fillId="0" borderId="45" xfId="0" applyFont="1" applyBorder="1" applyAlignment="1" applyProtection="1">
      <alignment horizontal="center" vertical="center" wrapText="1"/>
      <protection locked="0"/>
    </xf>
    <xf numFmtId="0" fontId="49" fillId="0" borderId="46" xfId="0" applyFont="1" applyBorder="1" applyAlignment="1" applyProtection="1">
      <alignment horizontal="center" vertical="center" wrapText="1"/>
      <protection locked="0"/>
    </xf>
    <xf numFmtId="0" fontId="45" fillId="0" borderId="47" xfId="0" applyFont="1" applyBorder="1" applyAlignment="1" applyProtection="1">
      <alignment horizontal="center" vertical="center" wrapText="1"/>
      <protection locked="0"/>
    </xf>
    <xf numFmtId="0" fontId="45" fillId="0" borderId="50" xfId="0" applyFont="1" applyBorder="1" applyAlignment="1" applyProtection="1">
      <alignment horizontal="center" vertical="center" wrapText="1"/>
      <protection locked="0"/>
    </xf>
    <xf numFmtId="0" fontId="45" fillId="0" borderId="54" xfId="0" applyFont="1" applyBorder="1" applyAlignment="1" applyProtection="1">
      <alignment horizontal="center" vertical="center" wrapText="1"/>
      <protection locked="0"/>
    </xf>
    <xf numFmtId="49" fontId="48" fillId="0" borderId="43" xfId="0" applyNumberFormat="1" applyFont="1" applyBorder="1" applyAlignment="1" applyProtection="1">
      <alignment horizontal="center" vertical="center" wrapText="1"/>
      <protection locked="0"/>
    </xf>
    <xf numFmtId="49" fontId="48" fillId="0" borderId="41" xfId="0" applyNumberFormat="1" applyFont="1" applyBorder="1" applyAlignment="1" applyProtection="1">
      <alignment horizontal="center" vertical="center" wrapText="1"/>
      <protection locked="0"/>
    </xf>
    <xf numFmtId="49" fontId="48" fillId="0" borderId="51" xfId="0" applyNumberFormat="1" applyFont="1" applyBorder="1" applyAlignment="1" applyProtection="1">
      <alignment horizontal="center" vertical="center" wrapText="1"/>
      <protection locked="0"/>
    </xf>
    <xf numFmtId="49" fontId="48" fillId="0" borderId="37" xfId="0" applyNumberFormat="1" applyFont="1" applyBorder="1" applyAlignment="1" applyProtection="1">
      <alignment horizontal="center" vertical="center" wrapText="1"/>
      <protection locked="0"/>
    </xf>
    <xf numFmtId="49" fontId="48" fillId="0" borderId="10" xfId="0" applyNumberFormat="1" applyFont="1" applyBorder="1" applyAlignment="1" applyProtection="1">
      <alignment horizontal="center" vertical="center" wrapText="1"/>
      <protection locked="0"/>
    </xf>
    <xf numFmtId="49" fontId="48" fillId="0" borderId="52" xfId="0" applyNumberFormat="1" applyFont="1" applyBorder="1" applyAlignment="1" applyProtection="1">
      <alignment horizontal="center" vertical="center" wrapText="1"/>
      <protection locked="0"/>
    </xf>
    <xf numFmtId="49" fontId="48" fillId="0" borderId="21" xfId="0" applyNumberFormat="1" applyFont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49" fontId="48" fillId="0" borderId="30" xfId="0" applyNumberFormat="1" applyFont="1" applyBorder="1" applyAlignment="1" applyProtection="1">
      <alignment horizontal="center" vertical="center" wrapText="1"/>
      <protection locked="0"/>
    </xf>
    <xf numFmtId="49" fontId="45" fillId="0" borderId="22" xfId="0" applyNumberFormat="1" applyFont="1" applyBorder="1" applyAlignment="1" applyProtection="1">
      <alignment horizontal="center" vertical="center" wrapText="1"/>
      <protection locked="0"/>
    </xf>
    <xf numFmtId="49" fontId="45" fillId="0" borderId="25" xfId="0" applyNumberFormat="1" applyFont="1" applyBorder="1" applyAlignment="1" applyProtection="1">
      <alignment horizontal="center" vertical="center" wrapText="1"/>
      <protection locked="0"/>
    </xf>
    <xf numFmtId="49" fontId="45" fillId="0" borderId="31" xfId="0" applyNumberFormat="1" applyFont="1" applyBorder="1" applyAlignment="1" applyProtection="1">
      <alignment horizontal="center" vertical="center" wrapText="1"/>
      <protection locked="0"/>
    </xf>
    <xf numFmtId="0" fontId="48" fillId="0" borderId="32" xfId="0" applyFont="1" applyBorder="1" applyAlignment="1" applyProtection="1">
      <alignment horizontal="center" vertical="center" wrapText="1"/>
      <protection locked="0"/>
    </xf>
    <xf numFmtId="0" fontId="48" fillId="0" borderId="51" xfId="0" applyFont="1" applyBorder="1" applyAlignment="1" applyProtection="1">
      <alignment horizontal="center" vertical="center" wrapText="1"/>
      <protection locked="0"/>
    </xf>
    <xf numFmtId="0" fontId="48" fillId="0" borderId="4" xfId="0" applyFont="1" applyBorder="1" applyAlignment="1" applyProtection="1">
      <alignment horizontal="center" vertical="center" wrapText="1"/>
      <protection locked="0"/>
    </xf>
    <xf numFmtId="0" fontId="48" fillId="0" borderId="52" xfId="0" applyFont="1" applyBorder="1" applyAlignment="1" applyProtection="1">
      <alignment horizontal="center" vertical="center" wrapText="1"/>
      <protection locked="0"/>
    </xf>
    <xf numFmtId="0" fontId="48" fillId="0" borderId="33" xfId="0" applyFont="1" applyBorder="1" applyAlignment="1" applyProtection="1">
      <alignment horizontal="center" vertical="center" wrapText="1"/>
      <protection locked="0"/>
    </xf>
    <xf numFmtId="0" fontId="48" fillId="0" borderId="53" xfId="0" applyFont="1" applyBorder="1" applyAlignment="1" applyProtection="1">
      <alignment horizontal="center" vertical="center" wrapText="1"/>
      <protection locked="0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58">
    <dxf>
      <fill>
        <patternFill>
          <bgColor rgb="FFFF0000"/>
        </patternFill>
      </fill>
    </dxf>
    <dxf>
      <font>
        <color theme="1"/>
      </font>
    </dxf>
    <dxf>
      <font>
        <color theme="0"/>
      </font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8029" y="54202853"/>
          <a:ext cx="860052" cy="405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1412" y="54673500"/>
          <a:ext cx="1303804" cy="547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321468</xdr:colOff>
      <xdr:row>51</xdr:row>
      <xdr:rowOff>119062</xdr:rowOff>
    </xdr:from>
    <xdr:to>
      <xdr:col>11</xdr:col>
      <xdr:colOff>309561</xdr:colOff>
      <xdr:row>53</xdr:row>
      <xdr:rowOff>100012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9865518" y="10396537"/>
          <a:ext cx="854868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619125</xdr:colOff>
      <xdr:row>26</xdr:row>
      <xdr:rowOff>85725</xdr:rowOff>
    </xdr:from>
    <xdr:to>
      <xdr:col>4</xdr:col>
      <xdr:colOff>1476375</xdr:colOff>
      <xdr:row>28</xdr:row>
      <xdr:rowOff>66675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5591175" y="7515225"/>
          <a:ext cx="8572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13</xdr:row>
      <xdr:rowOff>85725</xdr:rowOff>
    </xdr:from>
    <xdr:to>
      <xdr:col>7</xdr:col>
      <xdr:colOff>171450</xdr:colOff>
      <xdr:row>16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474/Desktop/&#1057;&#1084;&#1077;&#1090;&#1085;&#1099;&#1077;%20&#1088;&#1072;&#1089;&#1095;&#1077;&#1090;&#1099;/&#1048;&#1079;&#1084;&#1077;&#1085;&#1077;&#1085;&#1080;&#1103;/&#1070;&#1069;&#1057;_H__&#1057;&#1084;&#1077;&#1090;&#1085;&#1099;&#1081;%20&#1056;&#1072;&#1089;&#1095;&#1077;&#1090;%20&#1052;&#1069;_000-55-1-01.32-184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25.10.2017%20(004C9267$$$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Лист1"/>
    </sheetNames>
    <sheetDataSet>
      <sheetData sheetId="0"/>
      <sheetData sheetId="1" refreshError="1"/>
      <sheetData sheetId="2"/>
      <sheetData sheetId="3" refreshError="1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НМЦ лота &quot;под ключ&quot;"/>
      <sheetName val="Калькуляция для выноса"/>
      <sheetName val="Удельники"/>
    </sheetNames>
    <sheetDataSet>
      <sheetData sheetId="0" refreshError="1">
        <row r="377">
          <cell r="C377" t="str">
            <v>Составил: Ведущий инженер Сивергин А.Н.</v>
          </cell>
        </row>
        <row r="379">
          <cell r="C379" t="str">
            <v>Проверил: Заместитель директора по капитальному строительству производственного отделения - начальник отдела Запрягаев А.М.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C133" zoomScale="85" zoomScaleNormal="80" zoomScaleSheetLayoutView="85" workbookViewId="0">
      <selection activeCell="C15" sqref="C15:C16"/>
    </sheetView>
  </sheetViews>
  <sheetFormatPr defaultColWidth="9.140625" defaultRowHeight="12.75" x14ac:dyDescent="0.2"/>
  <cols>
    <col min="1" max="1" width="4" style="116" customWidth="1"/>
    <col min="2" max="2" width="9.140625" style="2" customWidth="1"/>
    <col min="3" max="3" width="53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7" hidden="1" customWidth="1"/>
    <col min="30" max="30" width="10.42578125" style="89" hidden="1" customWidth="1"/>
    <col min="31" max="31" width="10" style="60" bestFit="1" customWidth="1"/>
    <col min="32" max="34" width="9.140625" style="60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7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50" t="s">
        <v>1434</v>
      </c>
    </row>
    <row r="6" spans="1:30" ht="25.5" x14ac:dyDescent="0.2">
      <c r="B6" s="3" t="s">
        <v>1192</v>
      </c>
      <c r="C6" s="609" t="s">
        <v>1431</v>
      </c>
      <c r="D6" s="609"/>
      <c r="E6" s="609"/>
      <c r="F6" s="609"/>
      <c r="G6" s="609"/>
      <c r="H6" s="609"/>
      <c r="I6" s="609"/>
      <c r="J6" s="609"/>
      <c r="K6" s="609"/>
      <c r="L6" s="609"/>
      <c r="M6" s="609"/>
      <c r="N6" s="609"/>
      <c r="O6" s="609"/>
      <c r="P6" s="609"/>
      <c r="Q6" s="609"/>
      <c r="R6" s="609"/>
    </row>
    <row r="8" spans="1:30" x14ac:dyDescent="0.2">
      <c r="B8" s="2" t="s">
        <v>253</v>
      </c>
      <c r="C8" s="613" t="s">
        <v>1389</v>
      </c>
      <c r="D8" s="613"/>
      <c r="O8" s="60"/>
      <c r="P8" s="60"/>
      <c r="Q8" s="60"/>
    </row>
    <row r="9" spans="1:30" x14ac:dyDescent="0.2">
      <c r="B9" s="2" t="s">
        <v>471</v>
      </c>
      <c r="C9" s="613"/>
      <c r="D9" s="613"/>
      <c r="L9" s="209"/>
    </row>
    <row r="10" spans="1:30" x14ac:dyDescent="0.2">
      <c r="D10" s="52"/>
      <c r="E10" s="52"/>
      <c r="L10" s="209">
        <f ca="1">IFERROR(OFFSET(Регионы!$HH$5,MATCH($C$11,Регионы!$B$6:$B$91,0),0,1,1),1)</f>
        <v>3</v>
      </c>
      <c r="M10" s="209">
        <f ca="1">MIN(MAX(1,E11),L10)</f>
        <v>1</v>
      </c>
    </row>
    <row r="11" spans="1:30" ht="13.5" thickBot="1" x14ac:dyDescent="0.25">
      <c r="B11" s="2" t="s">
        <v>0</v>
      </c>
      <c r="C11" s="31" t="s">
        <v>1317</v>
      </c>
      <c r="D11" s="52" t="str">
        <f ca="1">IF($L$10=1,"","Сегмент ("&amp;"≤"&amp;L10&amp;"): ")</f>
        <v xml:space="preserve">Сегмент (≤3): </v>
      </c>
      <c r="E11" s="242">
        <v>1</v>
      </c>
      <c r="F11" s="2" t="s">
        <v>298</v>
      </c>
      <c r="G11" s="31" t="s">
        <v>239</v>
      </c>
      <c r="H11" s="60"/>
      <c r="I11" s="60"/>
      <c r="K11" s="2" t="s">
        <v>260</v>
      </c>
      <c r="M11" s="2">
        <f ca="1">IFERROR(VLOOKUP(C11,Регионы!B6:H91,7,FALSE),1)</f>
        <v>1.0900000000000001</v>
      </c>
      <c r="P11" s="610" t="s">
        <v>102</v>
      </c>
      <c r="Q11" s="611"/>
    </row>
    <row r="12" spans="1:30" ht="13.5" thickBot="1" x14ac:dyDescent="0.25">
      <c r="B12" s="2" t="s">
        <v>320</v>
      </c>
      <c r="C12" s="31"/>
      <c r="D12" s="52"/>
      <c r="E12" s="52"/>
      <c r="F12" s="2" t="s">
        <v>643</v>
      </c>
      <c r="G12" s="49" t="s">
        <v>1418</v>
      </c>
      <c r="K12" s="2" t="s">
        <v>1035</v>
      </c>
      <c r="M12" s="16" t="b">
        <f>OR(C12=Таблица!M7,C12=Таблица!M8)</f>
        <v>0</v>
      </c>
      <c r="P12" s="379">
        <v>0.03</v>
      </c>
      <c r="Q12" s="60"/>
      <c r="R12" s="220"/>
      <c r="S12" s="60"/>
      <c r="T12" s="118" t="s">
        <v>1258</v>
      </c>
      <c r="U12" s="119">
        <f>IF(SUM(R210:R220),1,0)</f>
        <v>0</v>
      </c>
      <c r="V12" s="86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10</v>
      </c>
      <c r="Q13" s="57" t="s">
        <v>434</v>
      </c>
    </row>
    <row r="15" spans="1:30" ht="22.5" customHeight="1" x14ac:dyDescent="0.2">
      <c r="A15" s="587" t="s">
        <v>325</v>
      </c>
      <c r="B15" s="591" t="s">
        <v>427</v>
      </c>
      <c r="C15" s="589" t="s">
        <v>324</v>
      </c>
      <c r="D15" s="587" t="s">
        <v>1104</v>
      </c>
      <c r="E15" s="600" t="s">
        <v>326</v>
      </c>
      <c r="F15" s="600"/>
      <c r="G15" s="600"/>
      <c r="H15" s="600"/>
      <c r="I15" s="600"/>
      <c r="J15" s="600" t="s">
        <v>328</v>
      </c>
      <c r="K15" s="600"/>
      <c r="L15" s="21"/>
      <c r="M15" s="13"/>
      <c r="N15" s="600" t="s">
        <v>410</v>
      </c>
      <c r="O15" s="600"/>
      <c r="P15" s="600"/>
      <c r="Q15" s="587" t="s">
        <v>406</v>
      </c>
      <c r="R15" s="591" t="s">
        <v>407</v>
      </c>
    </row>
    <row r="16" spans="1:30" ht="29.25" customHeight="1" x14ac:dyDescent="0.2">
      <c r="A16" s="588"/>
      <c r="B16" s="591"/>
      <c r="C16" s="589"/>
      <c r="D16" s="588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8" t="s">
        <v>1341</v>
      </c>
      <c r="O16" s="78" t="s">
        <v>401</v>
      </c>
      <c r="P16" s="77" t="s">
        <v>1410</v>
      </c>
      <c r="Q16" s="588"/>
      <c r="R16" s="591"/>
      <c r="S16" s="4" t="s">
        <v>184</v>
      </c>
      <c r="T16" s="4" t="s">
        <v>995</v>
      </c>
      <c r="U16" s="108" t="s">
        <v>259</v>
      </c>
      <c r="V16" s="108" t="s">
        <v>311</v>
      </c>
      <c r="W16" s="108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8" t="s">
        <v>1201</v>
      </c>
    </row>
    <row r="17" spans="1:32" x14ac:dyDescent="0.2">
      <c r="A17" s="114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4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49"/>
    </row>
    <row r="19" spans="1:32" ht="13.9" hidden="1" x14ac:dyDescent="0.3">
      <c r="A19" s="114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49">
        <v>0</v>
      </c>
    </row>
    <row r="20" spans="1:32" ht="13.15" hidden="1" x14ac:dyDescent="0.25">
      <c r="A20" s="239" t="str">
        <f>IF(C20="","",1)</f>
        <v/>
      </c>
      <c r="B20" s="1" t="str">
        <f>IFERROR(VLOOKUP($C24,Таблица!$B$88:$E$106,2,FALSE),"")</f>
        <v/>
      </c>
      <c r="C20" s="48"/>
      <c r="D20" s="31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0"/>
      <c r="Q20" s="11" t="str">
        <f>IF($C20&lt;&gt;"","V","")</f>
        <v/>
      </c>
      <c r="R20" s="249">
        <f>IF(C20="",0,IFERROR(K20*L20/10000*P20,0))</f>
        <v>0</v>
      </c>
      <c r="S20" s="62"/>
      <c r="T20" s="62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60" customFormat="1" ht="13.15" hidden="1" x14ac:dyDescent="0.25">
      <c r="A21" s="222" t="str">
        <f>IF(C21="","",MAX(A$20:A20)+1)</f>
        <v/>
      </c>
      <c r="B21" s="56" t="str">
        <f>IFERROR(VLOOKUP($C25,Таблица!$B$88:$E$106,2,FALSE),"")</f>
        <v/>
      </c>
      <c r="C21" s="48"/>
      <c r="D21" s="48"/>
      <c r="E21" s="56"/>
      <c r="F21" s="56"/>
      <c r="G21" s="56"/>
      <c r="H21" s="56"/>
      <c r="I21" s="56"/>
      <c r="J21" s="58" t="str">
        <f>IF($C21="","","км")</f>
        <v/>
      </c>
      <c r="K21" s="51"/>
      <c r="L21" s="56" t="str">
        <f>IFERROR(VLOOKUP($C21,Таблица!$B$88:$F$106,4,FALSE),"")</f>
        <v/>
      </c>
      <c r="M21" s="56" t="str">
        <f>IFERROR(VLOOKUP($C21,Таблица!$B$88:$F$106,5,FALSE),"")</f>
        <v/>
      </c>
      <c r="N21" s="58" t="str">
        <f>IF($C21="","","т.р./га")</f>
        <v/>
      </c>
      <c r="O21" s="56"/>
      <c r="P21" s="51"/>
      <c r="Q21" s="11" t="str">
        <f>IF($C21&lt;&gt;"","V","")</f>
        <v/>
      </c>
      <c r="R21" s="249">
        <f>IF(C21="",0,IFERROR(K21*L21/10000*P21,0))</f>
        <v>0</v>
      </c>
      <c r="S21" s="62"/>
      <c r="T21" s="62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60" customFormat="1" ht="13.15" hidden="1" x14ac:dyDescent="0.25">
      <c r="A22" s="239" t="str">
        <f>IF(C22="","",MAX(A$20:A21)+1)</f>
        <v/>
      </c>
      <c r="B22" s="56" t="str">
        <f>IFERROR(VLOOKUP($C22,Таблица!$B$666:$E$672,2,FALSE),"")</f>
        <v/>
      </c>
      <c r="C22" s="48"/>
      <c r="D22" s="48"/>
      <c r="E22" s="56"/>
      <c r="F22" s="56"/>
      <c r="G22" s="50"/>
      <c r="H22" s="56"/>
      <c r="I22" s="56"/>
      <c r="J22" s="56" t="str">
        <f>IF($C22="","","шт.")</f>
        <v/>
      </c>
      <c r="K22" s="64"/>
      <c r="L22" s="56">
        <f>IFERROR(VLOOKUP($C22,Таблица!$B$666:$K$672,4,FALSE),0)</f>
        <v>0</v>
      </c>
      <c r="M22" s="56" t="str">
        <f>IFERROR(VLOOKUP($C22,Таблица!$B$666:$F$672,5,FALSE),"")</f>
        <v/>
      </c>
      <c r="N22" s="56" t="str">
        <f>IF($K22="","","т.р./га")</f>
        <v/>
      </c>
      <c r="O22" s="56">
        <f t="shared" ref="O22" si="0">IF(E22="",1,E22)*IF(F22="",1,F22)*IF(G22="",1,G22)*IF(H22="",1,H22)*IF(I22="",1,I22)</f>
        <v>1</v>
      </c>
      <c r="P22" s="51"/>
      <c r="Q22" s="11" t="str">
        <f>IF($C22&lt;&gt;"","V","")</f>
        <v/>
      </c>
      <c r="R22" s="249">
        <f>IF(C22="",0,IFERROR(K22*L22/10000*P22,0))</f>
        <v>0</v>
      </c>
      <c r="S22" s="62"/>
      <c r="T22" s="62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ht="13.15" hidden="1" x14ac:dyDescent="0.25">
      <c r="A23" s="114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1"/>
      <c r="M23" s="1"/>
      <c r="N23" s="1"/>
      <c r="O23" s="1"/>
      <c r="P23" s="1"/>
      <c r="Q23" s="1"/>
      <c r="R23" s="249">
        <v>0</v>
      </c>
    </row>
    <row r="24" spans="1:32" ht="25.5" x14ac:dyDescent="0.2">
      <c r="A24" s="114">
        <f>IF(C24="","",MAX(A$20:A23)+1)</f>
        <v>1</v>
      </c>
      <c r="B24" s="1" t="str">
        <f>IFERROR(VLOOKUP($C24,Таблица!$B$6:$E$81,2,FALSE),"")</f>
        <v>2</v>
      </c>
      <c r="C24" s="48" t="s">
        <v>349</v>
      </c>
      <c r="D24" s="519" t="s">
        <v>1442</v>
      </c>
      <c r="E24" s="32"/>
      <c r="F24" s="32"/>
      <c r="G24" s="32"/>
      <c r="H24" s="32"/>
      <c r="I24" s="1" t="str">
        <f>IF(AND(K24&lt;0.1,K24&gt;0),1.35,"")</f>
        <v/>
      </c>
      <c r="J24" s="1" t="str">
        <f>IF($C24="","","км")</f>
        <v>км</v>
      </c>
      <c r="K24" s="51">
        <v>14.25</v>
      </c>
      <c r="L24" s="1">
        <f>IFERROR(VLOOKUP($C24,Таблица!$B$6:$K$81,3,FALSE),0)</f>
        <v>42</v>
      </c>
      <c r="M24" s="1">
        <f>IFERROR(VLOOKUP($C24,Таблица!$B$6:$F$81,5,FALSE),"")</f>
        <v>10</v>
      </c>
      <c r="N24" s="1">
        <f>IFERROR(VLOOKUP($C24,Таблица!$B$6:$E$81,4,FALSE),"")</f>
        <v>319.2</v>
      </c>
      <c r="O24" s="1">
        <f>IF(E24="",1,E24)*IF(F24="",1,F24)*IF(G24="",1,G24)*IF(H24="",1,H24)*IF(I24="",1,I24)</f>
        <v>1</v>
      </c>
      <c r="P24" s="51">
        <v>259</v>
      </c>
      <c r="Q24" s="11" t="str">
        <f>IF(OR(AND(ISERROR(VLOOKUP($C24,Таблица!$B$6:$E$81,2,FALSE)),$C24&lt;&gt;""),P24&lt;&gt;""),"V","")</f>
        <v>V</v>
      </c>
      <c r="R24" s="249">
        <f>IFERROR(ROUND(K24*IF(P24="",N24*O24,P24*O24),2),0)</f>
        <v>3690.75</v>
      </c>
      <c r="S24" s="62">
        <f>ROUND(IFERROR(VLOOKUP($C24,Таблица!$B$6:$K$81,6,FALSE),80)/100*$AC24,2)</f>
        <v>3516.55</v>
      </c>
      <c r="T24" s="62">
        <f>ROUND(IFERROR(VLOOKUP($C24,Таблица!$B$6:$K$81,7,FALSE),4)/100*$AC24,2)</f>
        <v>175.83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307.7</v>
      </c>
      <c r="W24" s="84">
        <f>ROUND(IFERROR(VLOOKUP($C24,Таблица!$B$6:$K$81,10,FALSE),9)/100*$AC24,2)</f>
        <v>395.61</v>
      </c>
      <c r="X24" s="88">
        <f>IF($R24="",0,ROUND($R24*IF($M24&gt;=35,Таблица!$O$44,Таблица!$O$36)*(1+$K$55),2))</f>
        <v>55.36</v>
      </c>
      <c r="Y24" s="88">
        <f>IF($R24="",0,ROUND($R24*IF($M24&gt;=35,Таблица!$O$45,Таблица!$O$37)*IF($M$12,0.8,1)*(1+$K$55),2))</f>
        <v>92.27</v>
      </c>
      <c r="Z24" s="88">
        <f>IF($R24="",0,ROUND($R24*IF($M24&gt;=35,Таблица!$O$46,Таблица!$O$38)*(1+$K$55),2))</f>
        <v>184.54</v>
      </c>
      <c r="AA24" s="88">
        <f>IF($R24="",0,ROUND($R24*IF($M24&gt;=35,Таблица!$O$47,Таблица!$O$39)*(1+$K$55),2))</f>
        <v>95.96</v>
      </c>
      <c r="AB24" s="88">
        <f>IF($R24="",0,ROUND($R24*IF($M24&gt;=35,Таблица!$O$48,Таблица!$O$40)*(1+$K$55),2))</f>
        <v>276.81</v>
      </c>
      <c r="AC24" s="139">
        <f t="shared" ref="AC24:AC43" si="1">IFERROR(ROUND(R24*(1+$K$55),2)+SUM(X24:AB24),0)</f>
        <v>4395.6899999999996</v>
      </c>
      <c r="AE24" s="85"/>
      <c r="AF24" s="85"/>
    </row>
    <row r="25" spans="1:32" ht="25.5" x14ac:dyDescent="0.2">
      <c r="A25" s="114">
        <f>IF(C25="","",MAX(A$20:A24)+1)</f>
        <v>2</v>
      </c>
      <c r="B25" s="1" t="str">
        <f>IFERROR(VLOOKUP($C25,Таблица!$B$6:$E$81,2,FALSE),"")</f>
        <v>2</v>
      </c>
      <c r="C25" s="48" t="s">
        <v>347</v>
      </c>
      <c r="D25" s="521" t="s">
        <v>1442</v>
      </c>
      <c r="E25" s="32"/>
      <c r="F25" s="32"/>
      <c r="G25" s="32"/>
      <c r="H25" s="32"/>
      <c r="I25" s="1" t="str">
        <f>IF(AND(K25&lt;0.1,K25&gt;0),1.35,"")</f>
        <v/>
      </c>
      <c r="J25" s="1" t="str">
        <f>IF($C25="","","км")</f>
        <v>км</v>
      </c>
      <c r="K25" s="42">
        <v>0.5</v>
      </c>
      <c r="L25" s="1">
        <f>IFERROR(VLOOKUP($C25,Таблица!$B$6:$K$81,3,FALSE),0)</f>
        <v>41</v>
      </c>
      <c r="M25" s="56">
        <f>IFERROR(VLOOKUP($C25,Таблица!$B$6:$F$81,5,FALSE),"")</f>
        <v>10</v>
      </c>
      <c r="N25" s="1">
        <f>IFERROR(VLOOKUP($C25,Таблица!$B$6:$E$81,4,FALSE),"")</f>
        <v>264.5</v>
      </c>
      <c r="O25" s="56">
        <f t="shared" ref="O25:O43" si="2">IF(E25="",1,E25)*IF(F25="",1,F25)*IF(G25="",1,G25)*IF(H25="",1,H25)*IF(I25="",1,I25)</f>
        <v>1</v>
      </c>
      <c r="P25" s="42">
        <v>219</v>
      </c>
      <c r="Q25" s="11" t="str">
        <f>IF(OR(AND(ISERROR(VLOOKUP($C25,Таблица!$B$6:$E$81,2,FALSE)),$C25&lt;&gt;""),P25&lt;&gt;""),"V","")</f>
        <v>V</v>
      </c>
      <c r="R25" s="249">
        <f t="shared" ref="R25:R43" si="3">IFERROR(ROUND(K25*IF(P25="",N25*O25,P25*O25),2),0)</f>
        <v>109.5</v>
      </c>
      <c r="S25" s="62">
        <f>ROUND(IFERROR(VLOOKUP($C25,Таблица!$B$6:$K$81,6,FALSE),80)/100*$AC25,2)</f>
        <v>104.34</v>
      </c>
      <c r="T25" s="62">
        <f>ROUND(IFERROR(VLOOKUP($C25,Таблица!$B$6:$K$81,7,FALSE),4)/100*$AC25,2)</f>
        <v>5.22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9.1300000000000008</v>
      </c>
      <c r="W25" s="84">
        <f>ROUND(IFERROR(VLOOKUP($C25,Таблица!$B$6:$K$81,10,FALSE),9)/100*$AC25,2)</f>
        <v>11.74</v>
      </c>
      <c r="X25" s="88">
        <f>IF($R25="",0,ROUND($R25*IF($M25&gt;=35,Таблица!$O$44,Таблица!$O$36)*(1+$K$55),2))</f>
        <v>1.64</v>
      </c>
      <c r="Y25" s="88">
        <f>IF($R25="",0,ROUND($R25*IF($M25&gt;=35,Таблица!$O$45,Таблица!$O$37)*IF($M$12,0.8,1)*(1+$K$55),2))</f>
        <v>2.74</v>
      </c>
      <c r="Z25" s="88">
        <f>IF($R25="",0,ROUND($R25*IF($M25&gt;=35,Таблица!$O$46,Таблица!$O$38)*(1+$K$55),2))</f>
        <v>5.48</v>
      </c>
      <c r="AA25" s="88">
        <f>IF($R25="",0,ROUND($R25*IF($M25&gt;=35,Таблица!$O$47,Таблица!$O$39)*(1+$K$55),2))</f>
        <v>2.85</v>
      </c>
      <c r="AB25" s="88">
        <f>IF($R25="",0,ROUND($R25*IF($M25&gt;=35,Таблица!$O$48,Таблица!$O$40)*(1+$K$55),2))</f>
        <v>8.2100000000000009</v>
      </c>
      <c r="AC25" s="139">
        <f t="shared" si="1"/>
        <v>130.42000000000002</v>
      </c>
      <c r="AE25" s="85"/>
      <c r="AF25" s="85"/>
    </row>
    <row r="26" spans="1:32" hidden="1" x14ac:dyDescent="0.2">
      <c r="A26" s="125" t="str">
        <f>IF(C26="","",MAX(A$20:A25)+1)</f>
        <v/>
      </c>
      <c r="B26" s="1" t="str">
        <f>IFERROR(VLOOKUP($C26,Таблица!$B$6:$E$81,2,FALSE),"")</f>
        <v/>
      </c>
      <c r="C26" s="31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42"/>
      <c r="L26" s="1">
        <f>IFERROR(VLOOKUP($C26,Таблица!$B$6:$K$81,3,FALSE),0)</f>
        <v>0</v>
      </c>
      <c r="M26" s="56" t="str">
        <f>IFERROR(VLOOKUP($C26,Таблица!$B$6:$F$81,5,FALSE),"")</f>
        <v/>
      </c>
      <c r="N26" s="1" t="str">
        <f>IFERROR(VLOOKUP($C26,Таблица!$B$6:$E$81,4,FALSE),"")</f>
        <v/>
      </c>
      <c r="O26" s="56">
        <f t="shared" si="2"/>
        <v>1</v>
      </c>
      <c r="P26" s="42"/>
      <c r="Q26" s="11" t="str">
        <f>IF(OR(AND(ISERROR(VLOOKUP($C26,Таблица!$B$6:$E$81,2,FALSE)),$C26&lt;&gt;""),P26&lt;&gt;""),"V","")</f>
        <v/>
      </c>
      <c r="R26" s="249">
        <f t="shared" si="3"/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39">
        <f t="shared" si="1"/>
        <v>0</v>
      </c>
      <c r="AE26" s="85"/>
      <c r="AF26" s="85"/>
    </row>
    <row r="27" spans="1:32" ht="13.15" hidden="1" x14ac:dyDescent="0.25">
      <c r="A27" s="125" t="str">
        <f>IF(C27="","",MAX(A$20:A26)+1)</f>
        <v/>
      </c>
      <c r="B27" s="1" t="str">
        <f>IFERROR(VLOOKUP($C27,Таблица!$B$6:$E$81,2,FALSE),"")</f>
        <v/>
      </c>
      <c r="C27" s="31"/>
      <c r="D27" s="31"/>
      <c r="E27" s="32"/>
      <c r="F27" s="32"/>
      <c r="G27" s="32"/>
      <c r="H27" s="32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2"/>
      <c r="L27" s="1">
        <f>IFERROR(VLOOKUP($C27,Таблица!$B$6:$K$81,3,FALSE),0)</f>
        <v>0</v>
      </c>
      <c r="M27" s="56" t="str">
        <f>IFERROR(VLOOKUP($C27,Таблица!$B$6:$F$81,5,FALSE),"")</f>
        <v/>
      </c>
      <c r="N27" s="1" t="str">
        <f>IFERROR(VLOOKUP($C27,Таблица!$B$6:$E$81,4,FALSE),"")</f>
        <v/>
      </c>
      <c r="O27" s="56">
        <f t="shared" si="2"/>
        <v>1</v>
      </c>
      <c r="P27" s="42"/>
      <c r="Q27" s="11" t="str">
        <f>IF(OR(AND(ISERROR(VLOOKUP($C27,Таблица!$B$6:$E$81,2,FALSE)),$C27&lt;&gt;""),P27&lt;&gt;""),"V","")</f>
        <v/>
      </c>
      <c r="R27" s="249">
        <f t="shared" si="3"/>
        <v>0</v>
      </c>
      <c r="S27" s="62">
        <f>ROUND(IFERROR(VLOOKUP($C27,Таблица!$B$6:$K$81,6,FALSE),80)/100*$AC27,2)</f>
        <v>0</v>
      </c>
      <c r="T27" s="62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39">
        <f t="shared" si="1"/>
        <v>0</v>
      </c>
      <c r="AE27" s="85"/>
      <c r="AF27" s="85"/>
    </row>
    <row r="28" spans="1:32" ht="13.15" hidden="1" x14ac:dyDescent="0.25">
      <c r="A28" s="125" t="str">
        <f>IF(C28="","",MAX(A$20:A27)+1)</f>
        <v/>
      </c>
      <c r="B28" s="1" t="str">
        <f>IFERROR(VLOOKUP($C28,Таблица!$B$6:$E$81,2,FALSE),"")</f>
        <v/>
      </c>
      <c r="C28" s="31"/>
      <c r="D28" s="31"/>
      <c r="E28" s="32"/>
      <c r="F28" s="32"/>
      <c r="G28" s="32"/>
      <c r="H28" s="32"/>
      <c r="I28" s="1" t="str">
        <f t="shared" si="4"/>
        <v/>
      </c>
      <c r="J28" s="1" t="str">
        <f t="shared" si="5"/>
        <v/>
      </c>
      <c r="K28" s="42"/>
      <c r="L28" s="1">
        <f>IFERROR(VLOOKUP($C28,Таблица!$B$6:$K$81,3,FALSE),0)</f>
        <v>0</v>
      </c>
      <c r="M28" s="56" t="str">
        <f>IFERROR(VLOOKUP($C28,Таблица!$B$6:$F$81,5,FALSE),"")</f>
        <v/>
      </c>
      <c r="N28" s="1" t="str">
        <f>IFERROR(VLOOKUP($C28,Таблица!$B$6:$E$81,4,FALSE),"")</f>
        <v/>
      </c>
      <c r="O28" s="56">
        <f t="shared" si="2"/>
        <v>1</v>
      </c>
      <c r="P28" s="42"/>
      <c r="Q28" s="11" t="str">
        <f>IF(OR(AND(ISERROR(VLOOKUP($C28,Таблица!$B$6:$E$81,2,FALSE)),$C28&lt;&gt;""),P28&lt;&gt;""),"V","")</f>
        <v/>
      </c>
      <c r="R28" s="249">
        <f t="shared" si="3"/>
        <v>0</v>
      </c>
      <c r="S28" s="62">
        <f>ROUND(IFERROR(VLOOKUP($C28,Таблица!$B$6:$K$81,6,FALSE),80)/100*$AC28,2)</f>
        <v>0</v>
      </c>
      <c r="T28" s="62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39">
        <f t="shared" si="1"/>
        <v>0</v>
      </c>
      <c r="AE28" s="85"/>
      <c r="AF28" s="85"/>
    </row>
    <row r="29" spans="1:32" s="60" customFormat="1" ht="13.15" hidden="1" x14ac:dyDescent="0.25">
      <c r="A29" s="125" t="str">
        <f>IF(C29="","",MAX(A$20:A28)+1)</f>
        <v/>
      </c>
      <c r="B29" s="56" t="str">
        <f>IFERROR(VLOOKUP($C29,Таблица!$B$6:$E$81,2,FALSE),"")</f>
        <v/>
      </c>
      <c r="C29" s="48"/>
      <c r="D29" s="48"/>
      <c r="E29" s="50"/>
      <c r="F29" s="50"/>
      <c r="G29" s="50"/>
      <c r="H29" s="50"/>
      <c r="I29" s="56" t="str">
        <f t="shared" ref="I29:I36" si="6">IF(AND(K29&lt;0.1,K29&gt;0),1.35,"")</f>
        <v/>
      </c>
      <c r="J29" s="56" t="str">
        <f t="shared" si="5"/>
        <v/>
      </c>
      <c r="K29" s="51"/>
      <c r="L29" s="56">
        <f>IFERROR(VLOOKUP($C29,Таблица!$B$6:$K$81,3,FALSE),0)</f>
        <v>0</v>
      </c>
      <c r="M29" s="56" t="str">
        <f>IFERROR(VLOOKUP($C29,Таблица!$B$6:$F$81,5,FALSE),"")</f>
        <v/>
      </c>
      <c r="N29" s="56" t="str">
        <f>IFERROR(VLOOKUP($C29,Таблица!$B$6:$E$81,4,FALSE),"")</f>
        <v/>
      </c>
      <c r="O29" s="56">
        <f t="shared" ref="O29:O36" si="7">IF(E29="",1,E29)*IF(F29="",1,F29)*IF(G29="",1,G29)*IF(H29="",1,H29)*IF(I29="",1,I29)</f>
        <v>1</v>
      </c>
      <c r="P29" s="51"/>
      <c r="Q29" s="11" t="str">
        <f>IF(OR(AND(ISERROR(VLOOKUP($C29,Таблица!$B$6:$E$81,2,FALSE)),$C29&lt;&gt;""),P29&lt;&gt;""),"V","")</f>
        <v/>
      </c>
      <c r="R29" s="249">
        <f t="shared" si="3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39">
        <f t="shared" si="1"/>
        <v>0</v>
      </c>
      <c r="AD29" s="89"/>
      <c r="AE29" s="85"/>
      <c r="AF29" s="85"/>
    </row>
    <row r="30" spans="1:32" s="60" customFormat="1" ht="13.15" hidden="1" x14ac:dyDescent="0.25">
      <c r="A30" s="125" t="str">
        <f>IF(C30="","",MAX(A$20:A29)+1)</f>
        <v/>
      </c>
      <c r="B30" s="56" t="str">
        <f>IFERROR(VLOOKUP($C30,Таблица!$B$6:$E$81,2,FALSE),"")</f>
        <v/>
      </c>
      <c r="C30" s="48"/>
      <c r="D30" s="48"/>
      <c r="E30" s="50"/>
      <c r="F30" s="50"/>
      <c r="G30" s="50"/>
      <c r="H30" s="50"/>
      <c r="I30" s="56" t="str">
        <f t="shared" si="6"/>
        <v/>
      </c>
      <c r="J30" s="56" t="str">
        <f t="shared" si="5"/>
        <v/>
      </c>
      <c r="K30" s="51"/>
      <c r="L30" s="56">
        <f>IFERROR(VLOOKUP($C30,Таблица!$B$6:$K$81,3,FALSE),0)</f>
        <v>0</v>
      </c>
      <c r="M30" s="56" t="str">
        <f>IFERROR(VLOOKUP($C30,Таблица!$B$6:$F$81,5,FALSE),"")</f>
        <v/>
      </c>
      <c r="N30" s="56" t="str">
        <f>IFERROR(VLOOKUP($C30,Таблица!$B$6:$E$81,4,FALSE),"")</f>
        <v/>
      </c>
      <c r="O30" s="56">
        <f t="shared" si="7"/>
        <v>1</v>
      </c>
      <c r="P30" s="51"/>
      <c r="Q30" s="11" t="str">
        <f>IF(OR(AND(ISERROR(VLOOKUP($C30,Таблица!$B$6:$E$81,2,FALSE)),$C30&lt;&gt;""),P30&lt;&gt;""),"V","")</f>
        <v/>
      </c>
      <c r="R30" s="249">
        <f t="shared" si="3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39">
        <f t="shared" si="1"/>
        <v>0</v>
      </c>
      <c r="AD30" s="89"/>
      <c r="AE30" s="85"/>
      <c r="AF30" s="85"/>
    </row>
    <row r="31" spans="1:32" s="60" customFormat="1" ht="13.15" hidden="1" x14ac:dyDescent="0.25">
      <c r="A31" s="125" t="str">
        <f>IF(C31="","",MAX(A$20:A30)+1)</f>
        <v/>
      </c>
      <c r="B31" s="56" t="str">
        <f>IFERROR(VLOOKUP($C31,Таблица!$B$6:$E$81,2,FALSE),"")</f>
        <v/>
      </c>
      <c r="C31" s="48"/>
      <c r="D31" s="48"/>
      <c r="E31" s="50"/>
      <c r="F31" s="50"/>
      <c r="G31" s="50"/>
      <c r="H31" s="50"/>
      <c r="I31" s="56" t="str">
        <f t="shared" si="6"/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si="7"/>
        <v>1</v>
      </c>
      <c r="P31" s="51"/>
      <c r="Q31" s="11" t="str">
        <f>IF(OR(AND(ISERROR(VLOOKUP($C31,Таблица!$B$6:$E$81,2,FALSE)),$C31&lt;&gt;""),P31&lt;&gt;""),"V","")</f>
        <v/>
      </c>
      <c r="R31" s="249">
        <f t="shared" si="3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39">
        <f t="shared" si="1"/>
        <v>0</v>
      </c>
      <c r="AD31" s="89"/>
      <c r="AE31" s="85"/>
      <c r="AF31" s="85"/>
    </row>
    <row r="32" spans="1:32" s="60" customFormat="1" ht="13.15" hidden="1" x14ac:dyDescent="0.25">
      <c r="A32" s="125" t="str">
        <f>IF(C32="","",MAX(A$20:A31)+1)</f>
        <v/>
      </c>
      <c r="B32" s="56" t="str">
        <f>IFERROR(VLOOKUP($C32,Таблица!$B$6:$E$81,2,FALSE),"")</f>
        <v/>
      </c>
      <c r="C32" s="48"/>
      <c r="D32" s="48"/>
      <c r="E32" s="50"/>
      <c r="F32" s="50"/>
      <c r="G32" s="50"/>
      <c r="H32" s="50"/>
      <c r="I32" s="56" t="str">
        <f t="shared" ref="I32:I34" si="8">IF(AND(K32&lt;0.1,K32&gt;0),1.35,"")</f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ref="O32:O34" si="9">IF(E32="",1,E32)*IF(F32="",1,F32)*IF(G32="",1,G32)*IF(H32="",1,H32)*IF(I32="",1,I32)</f>
        <v>1</v>
      </c>
      <c r="P32" s="51"/>
      <c r="Q32" s="11" t="str">
        <f>IF(OR(AND(ISERROR(VLOOKUP($C32,Таблица!$B$6:$E$81,2,FALSE)),$C32&lt;&gt;""),P32&lt;&gt;""),"V","")</f>
        <v/>
      </c>
      <c r="R32" s="249">
        <f t="shared" si="3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39">
        <f t="shared" si="1"/>
        <v>0</v>
      </c>
      <c r="AD32" s="89"/>
      <c r="AE32" s="85"/>
      <c r="AF32" s="85"/>
    </row>
    <row r="33" spans="1:32" s="60" customFormat="1" ht="13.15" hidden="1" x14ac:dyDescent="0.25">
      <c r="A33" s="125" t="str">
        <f>IF(C33="","",MAX(A$20:A32)+1)</f>
        <v/>
      </c>
      <c r="B33" s="56" t="str">
        <f>IFERROR(VLOOKUP($C33,Таблица!$B$6:$E$81,2,FALSE),"")</f>
        <v/>
      </c>
      <c r="C33" s="48"/>
      <c r="D33" s="48"/>
      <c r="E33" s="50"/>
      <c r="F33" s="50"/>
      <c r="G33" s="50"/>
      <c r="H33" s="50"/>
      <c r="I33" s="56" t="str">
        <f t="shared" si="8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9"/>
        <v>1</v>
      </c>
      <c r="P33" s="51"/>
      <c r="Q33" s="11" t="str">
        <f>IF(OR(AND(ISERROR(VLOOKUP($C33,Таблица!$B$6:$E$81,2,FALSE)),$C33&lt;&gt;""),P33&lt;&gt;""),"V","")</f>
        <v/>
      </c>
      <c r="R33" s="249">
        <f t="shared" si="3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39">
        <f t="shared" si="1"/>
        <v>0</v>
      </c>
      <c r="AD33" s="89"/>
      <c r="AE33" s="85"/>
      <c r="AF33" s="85"/>
    </row>
    <row r="34" spans="1:32" s="60" customFormat="1" ht="13.15" hidden="1" x14ac:dyDescent="0.25">
      <c r="A34" s="125" t="str">
        <f>IF(C34="","",MAX(A$20:A33)+1)</f>
        <v/>
      </c>
      <c r="B34" s="56" t="str">
        <f>IFERROR(VLOOKUP($C34,Таблица!$B$6:$E$81,2,FALSE),"")</f>
        <v/>
      </c>
      <c r="C34" s="48"/>
      <c r="D34" s="48"/>
      <c r="E34" s="50"/>
      <c r="F34" s="50"/>
      <c r="G34" s="50"/>
      <c r="H34" s="50"/>
      <c r="I34" s="56" t="str">
        <f t="shared" si="8"/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si="9"/>
        <v>1</v>
      </c>
      <c r="P34" s="51"/>
      <c r="Q34" s="11" t="str">
        <f>IF(OR(AND(ISERROR(VLOOKUP($C34,Таблица!$B$6:$E$81,2,FALSE)),$C34&lt;&gt;""),P34&lt;&gt;""),"V","")</f>
        <v/>
      </c>
      <c r="R34" s="249">
        <f t="shared" si="3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39">
        <f t="shared" si="1"/>
        <v>0</v>
      </c>
      <c r="AD34" s="89"/>
      <c r="AE34" s="85"/>
      <c r="AF34" s="85"/>
    </row>
    <row r="35" spans="1:32" s="60" customFormat="1" ht="13.15" hidden="1" x14ac:dyDescent="0.25">
      <c r="A35" s="125" t="str">
        <f>IF(C35="","",MAX(A$20:A34)+1)</f>
        <v/>
      </c>
      <c r="B35" s="56" t="str">
        <f>IFERROR(VLOOKUP($C35,Таблица!$B$6:$E$81,2,FALSE),"")</f>
        <v/>
      </c>
      <c r="C35" s="48"/>
      <c r="D35" s="48"/>
      <c r="E35" s="50"/>
      <c r="F35" s="50"/>
      <c r="G35" s="50"/>
      <c r="H35" s="50"/>
      <c r="I35" s="56" t="str">
        <f t="shared" si="6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7"/>
        <v>1</v>
      </c>
      <c r="P35" s="51"/>
      <c r="Q35" s="11" t="str">
        <f>IF(OR(AND(ISERROR(VLOOKUP($C35,Таблица!$B$6:$E$81,2,FALSE)),$C35&lt;&gt;""),P35&lt;&gt;""),"V","")</f>
        <v/>
      </c>
      <c r="R35" s="249">
        <f t="shared" si="3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39">
        <f t="shared" si="1"/>
        <v>0</v>
      </c>
      <c r="AD35" s="89"/>
      <c r="AE35" s="85"/>
      <c r="AF35" s="85"/>
    </row>
    <row r="36" spans="1:32" s="60" customFormat="1" ht="13.15" hidden="1" x14ac:dyDescent="0.25">
      <c r="A36" s="125" t="str">
        <f>IF(C36="","",MAX(A$20:A35)+1)</f>
        <v/>
      </c>
      <c r="B36" s="56" t="str">
        <f>IFERROR(VLOOKUP($C36,Таблица!$B$6:$E$81,2,FALSE),"")</f>
        <v/>
      </c>
      <c r="C36" s="48"/>
      <c r="D36" s="48"/>
      <c r="E36" s="50"/>
      <c r="F36" s="50"/>
      <c r="G36" s="50"/>
      <c r="H36" s="50"/>
      <c r="I36" s="56" t="str">
        <f t="shared" si="6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7"/>
        <v>1</v>
      </c>
      <c r="P36" s="51"/>
      <c r="Q36" s="11" t="str">
        <f>IF(OR(AND(ISERROR(VLOOKUP($C36,Таблица!$B$6:$E$81,2,FALSE)),$C36&lt;&gt;""),P36&lt;&gt;""),"V","")</f>
        <v/>
      </c>
      <c r="R36" s="249">
        <f t="shared" si="3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39">
        <f t="shared" si="1"/>
        <v>0</v>
      </c>
      <c r="AD36" s="89"/>
      <c r="AE36" s="85"/>
      <c r="AF36" s="85"/>
    </row>
    <row r="37" spans="1:32" ht="13.15" hidden="1" x14ac:dyDescent="0.25">
      <c r="A37" s="125" t="str">
        <f>IF(C37="","",MAX(A$20:A36)+1)</f>
        <v/>
      </c>
      <c r="B37" s="1" t="str">
        <f>IFERROR(VLOOKUP($C37,Таблица!$B$6:$E$81,2,FALSE),"")</f>
        <v/>
      </c>
      <c r="C37" s="31"/>
      <c r="D37" s="31"/>
      <c r="E37" s="32"/>
      <c r="F37" s="32"/>
      <c r="G37" s="32"/>
      <c r="H37" s="32"/>
      <c r="I37" s="1" t="str">
        <f t="shared" si="4"/>
        <v/>
      </c>
      <c r="J37" s="1" t="str">
        <f t="shared" si="5"/>
        <v/>
      </c>
      <c r="K37" s="42"/>
      <c r="L37" s="1">
        <f>IFERROR(VLOOKUP($C37,Таблица!$B$6:$K$81,3,FALSE),0)</f>
        <v>0</v>
      </c>
      <c r="M37" s="56" t="str">
        <f>IFERROR(VLOOKUP($C37,Таблица!$B$6:$F$81,5,FALSE),"")</f>
        <v/>
      </c>
      <c r="N37" s="1" t="str">
        <f>IFERROR(VLOOKUP($C37,Таблица!$B$6:$E$81,4,FALSE),"")</f>
        <v/>
      </c>
      <c r="O37" s="56">
        <f t="shared" si="2"/>
        <v>1</v>
      </c>
      <c r="P37" s="42"/>
      <c r="Q37" s="11" t="str">
        <f>IF(OR(AND(ISERROR(VLOOKUP($C37,Таблица!$B$6:$E$81,2,FALSE)),$C37&lt;&gt;""),P37&lt;&gt;""),"V","")</f>
        <v/>
      </c>
      <c r="R37" s="249">
        <f t="shared" si="3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39">
        <f t="shared" si="1"/>
        <v>0</v>
      </c>
      <c r="AE37" s="85"/>
      <c r="AF37" s="85"/>
    </row>
    <row r="38" spans="1:32" ht="13.15" hidden="1" x14ac:dyDescent="0.25">
      <c r="A38" s="125" t="str">
        <f>IF(C38="","",MAX(A$20:A37)+1)</f>
        <v/>
      </c>
      <c r="B38" s="1" t="str">
        <f>IFERROR(VLOOKUP($C38,Таблица!$B$6:$E$81,2,FALSE),"")</f>
        <v/>
      </c>
      <c r="C38" s="31"/>
      <c r="D38" s="31"/>
      <c r="E38" s="32"/>
      <c r="F38" s="32"/>
      <c r="G38" s="32"/>
      <c r="H38" s="32"/>
      <c r="I38" s="1" t="str">
        <f t="shared" si="4"/>
        <v/>
      </c>
      <c r="J38" s="1" t="str">
        <f t="shared" si="5"/>
        <v/>
      </c>
      <c r="K38" s="42"/>
      <c r="L38" s="1">
        <f>IFERROR(VLOOKUP($C38,Таблица!$B$6:$K$81,3,FALSE),0)</f>
        <v>0</v>
      </c>
      <c r="M38" s="56" t="str">
        <f>IFERROR(VLOOKUP($C38,Таблица!$B$6:$F$81,5,FALSE),"")</f>
        <v/>
      </c>
      <c r="N38" s="1" t="str">
        <f>IFERROR(VLOOKUP($C38,Таблица!$B$6:$E$81,4,FALSE),"")</f>
        <v/>
      </c>
      <c r="O38" s="56">
        <f t="shared" si="2"/>
        <v>1</v>
      </c>
      <c r="P38" s="42"/>
      <c r="Q38" s="11" t="str">
        <f>IF(OR(AND(ISERROR(VLOOKUP($C38,Таблица!$B$6:$E$81,2,FALSE)),$C38&lt;&gt;""),P38&lt;&gt;""),"V","")</f>
        <v/>
      </c>
      <c r="R38" s="249">
        <f t="shared" si="3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39">
        <f t="shared" si="1"/>
        <v>0</v>
      </c>
      <c r="AE38" s="85"/>
      <c r="AF38" s="85"/>
    </row>
    <row r="39" spans="1:32" ht="13.15" hidden="1" x14ac:dyDescent="0.25">
      <c r="A39" s="125" t="str">
        <f>IF(C39="","",MAX(A$20:A38)+1)</f>
        <v/>
      </c>
      <c r="B39" s="1" t="str">
        <f>IFERROR(VLOOKUP($C39,Таблица!$B$6:$E$81,2,FALSE),"")</f>
        <v/>
      </c>
      <c r="C39" s="31"/>
      <c r="D39" s="31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2"/>
        <v>1</v>
      </c>
      <c r="P39" s="42"/>
      <c r="Q39" s="11" t="str">
        <f>IF(OR(AND(ISERROR(VLOOKUP($C39,Таблица!$B$6:$E$81,2,FALSE)),$C39&lt;&gt;""),P39&lt;&gt;""),"V","")</f>
        <v/>
      </c>
      <c r="R39" s="249">
        <f t="shared" si="3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39">
        <f t="shared" si="1"/>
        <v>0</v>
      </c>
      <c r="AE39" s="85"/>
      <c r="AF39" s="85"/>
    </row>
    <row r="40" spans="1:32" ht="13.15" hidden="1" x14ac:dyDescent="0.25">
      <c r="A40" s="125" t="str">
        <f>IF(C40="","",MAX(A$20:A39)+1)</f>
        <v/>
      </c>
      <c r="B40" s="1" t="str">
        <f>IFERROR(VLOOKUP($C40,Таблица!$B$6:$E$81,2,FALSE),"")</f>
        <v/>
      </c>
      <c r="C40" s="31"/>
      <c r="D40" s="31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2"/>
        <v>1</v>
      </c>
      <c r="P40" s="42"/>
      <c r="Q40" s="11" t="str">
        <f>IF(OR(AND(ISERROR(VLOOKUP($C40,Таблица!$B$6:$E$81,2,FALSE)),$C40&lt;&gt;""),P40&lt;&gt;""),"V","")</f>
        <v/>
      </c>
      <c r="R40" s="249">
        <f t="shared" si="3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39">
        <f t="shared" si="1"/>
        <v>0</v>
      </c>
      <c r="AE40" s="85"/>
      <c r="AF40" s="85"/>
    </row>
    <row r="41" spans="1:32" ht="13.15" hidden="1" x14ac:dyDescent="0.25">
      <c r="A41" s="125" t="str">
        <f>IF(C41="","",MAX(A$20:A40)+1)</f>
        <v/>
      </c>
      <c r="B41" s="1" t="str">
        <f>IFERROR(VLOOKUP($C41,Таблица!$B$6:$E$81,2,FALSE),"")</f>
        <v/>
      </c>
      <c r="C41" s="31"/>
      <c r="D41" s="31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2"/>
        <v>1</v>
      </c>
      <c r="P41" s="42"/>
      <c r="Q41" s="11" t="str">
        <f>IF(OR(AND(ISERROR(VLOOKUP($C41,Таблица!$B$6:$E$81,2,FALSE)),$C41&lt;&gt;""),P41&lt;&gt;""),"V","")</f>
        <v/>
      </c>
      <c r="R41" s="249">
        <f t="shared" si="3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39">
        <f t="shared" si="1"/>
        <v>0</v>
      </c>
      <c r="AE41" s="85"/>
      <c r="AF41" s="85"/>
    </row>
    <row r="42" spans="1:32" ht="13.15" hidden="1" x14ac:dyDescent="0.25">
      <c r="A42" s="125" t="str">
        <f>IF(C42="","",MAX(A$20:A41)+1)</f>
        <v/>
      </c>
      <c r="B42" s="1" t="str">
        <f>IFERROR(VLOOKUP($C42,Таблица!$B$6:$E$81,2,FALSE),"")</f>
        <v/>
      </c>
      <c r="C42" s="31"/>
      <c r="D42" s="31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2"/>
        <v>1</v>
      </c>
      <c r="P42" s="42"/>
      <c r="Q42" s="11" t="str">
        <f>IF(OR(AND(ISERROR(VLOOKUP($C42,Таблица!$B$6:$E$81,2,FALSE)),$C42&lt;&gt;""),P42&lt;&gt;""),"V","")</f>
        <v/>
      </c>
      <c r="R42" s="249">
        <f t="shared" si="3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39">
        <f t="shared" si="1"/>
        <v>0</v>
      </c>
      <c r="AE42" s="85"/>
      <c r="AF42" s="85"/>
    </row>
    <row r="43" spans="1:32" ht="13.15" hidden="1" x14ac:dyDescent="0.25">
      <c r="A43" s="125" t="str">
        <f>IF(C43="","",MAX(A$20:A42)+1)</f>
        <v/>
      </c>
      <c r="B43" s="1" t="str">
        <f>IFERROR(VLOOKUP($C43,Таблица!$B$6:$E$81,2,FALSE),"")</f>
        <v/>
      </c>
      <c r="C43" s="31"/>
      <c r="D43" s="31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2"/>
        <v>1</v>
      </c>
      <c r="P43" s="42"/>
      <c r="Q43" s="11" t="str">
        <f>IF(OR(AND(ISERROR(VLOOKUP($C43,Таблица!$B$6:$E$81,2,FALSE)),$C43&lt;&gt;""),P43&lt;&gt;""),"V","")</f>
        <v/>
      </c>
      <c r="R43" s="249">
        <f t="shared" si="3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39">
        <f t="shared" si="1"/>
        <v>0</v>
      </c>
      <c r="AE43" s="85"/>
      <c r="AF43" s="85"/>
    </row>
    <row r="44" spans="1:32" ht="13.15" hidden="1" x14ac:dyDescent="0.25">
      <c r="A44" s="114"/>
      <c r="B44" s="1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49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ht="25.5" x14ac:dyDescent="0.2">
      <c r="A45" s="216">
        <f>IF(C45="","",MAX(A$20:A44)+1)</f>
        <v>3</v>
      </c>
      <c r="B45" s="1" t="str">
        <f>IFERROR(VLOOKUP($C45,Таблица!$B$109:$E$112,2,FALSE),"")</f>
        <v>3</v>
      </c>
      <c r="C45" s="31" t="s">
        <v>374</v>
      </c>
      <c r="D45" s="520" t="s">
        <v>1443</v>
      </c>
      <c r="E45" s="32"/>
      <c r="F45" s="32"/>
      <c r="G45" s="32"/>
      <c r="H45" s="1"/>
      <c r="I45" s="1"/>
      <c r="J45" s="1" t="s">
        <v>1432</v>
      </c>
      <c r="K45" s="42">
        <v>20.3</v>
      </c>
      <c r="L45" s="1" t="str">
        <f>IFERROR(VLOOKUP($C45,Таблица!$B$109:$K$112,3,FALSE),0)</f>
        <v>1</v>
      </c>
      <c r="M45" s="1">
        <f>IFERROR(VLOOKUP($C45,Таблица!$B$109:$F$112,5,FALSE),"")</f>
        <v>10</v>
      </c>
      <c r="N45" s="1">
        <f>IFERROR(VLOOKUP($C45,Таблица!$B$109:$E$112,4,FALSE),"")</f>
        <v>68</v>
      </c>
      <c r="O45" s="56">
        <f t="shared" ref="O45:O48" si="10">IF(E45="",1,E45)*IF(F45="",1,F45)*IF(G45="",1,G45)*IF(H45="",1,H45)*IF(I45="",1,I45)</f>
        <v>1</v>
      </c>
      <c r="P45" s="42">
        <v>20.079999999999998</v>
      </c>
      <c r="Q45" s="1" t="str">
        <f>IF(OR(AND(ISERROR(VLOOKUP($C45,Таблица!$B$109:$E$112,2,FALSE)),$C45&lt;&gt;""),P45&lt;&gt;""),"√","")</f>
        <v>√</v>
      </c>
      <c r="R45" s="249">
        <f>IFERROR(ROUND(K45*IF(P45="",N45*O45,P45*O45),2),0)</f>
        <v>407.62</v>
      </c>
      <c r="S45" s="62">
        <f>ROUND(IFERROR(VLOOKUP($C45,Таблица!$B$109:$K$112,6,FALSE),80)/100*$AC45,2)</f>
        <v>388.38</v>
      </c>
      <c r="T45" s="62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36.409999999999997</v>
      </c>
      <c r="W45" s="84">
        <f>ROUND(IFERROR(VLOOKUP($C45,Таблица!$B$109:$K$112,10,FALSE),9)/100*$AC45,2)</f>
        <v>60.68</v>
      </c>
      <c r="X45" s="88">
        <f>IF($R45="",0,ROUND($R45*IF($M45&gt;=35,Таблица!$O$44,Таблица!$O$36)*(1+$K$55),2))</f>
        <v>6.11</v>
      </c>
      <c r="Y45" s="88">
        <f>IF($R45="",0,ROUND($R45*IF($M45&gt;=35,Таблица!$O$45,Таблица!$O$37)*IF($M$12,0.8,1)*(1+$K$55),2))</f>
        <v>10.19</v>
      </c>
      <c r="Z45" s="88">
        <f>IF($R45="",0,ROUND($R45*IF($M45&gt;=35,Таблица!$O$46,Таблица!$O$38)*(1+$K$55),2))</f>
        <v>20.38</v>
      </c>
      <c r="AA45" s="88">
        <f>IF($R45="",0,ROUND($R45*IF($M45&gt;=35,Таблица!$O$47,Таблица!$O$39)*(1+$K$55),2))</f>
        <v>10.6</v>
      </c>
      <c r="AB45" s="88">
        <f>IF($R45="",0,ROUND($R45*IF($M45&gt;=35,Таблица!$O$48,Таблица!$O$40)*(1+$K$55),2))</f>
        <v>30.57</v>
      </c>
      <c r="AC45" s="139">
        <f>IFERROR(ROUND(R45*(1+$K$55),2)+SUM(X45:AB45),0)</f>
        <v>485.47</v>
      </c>
      <c r="AE45" s="85"/>
      <c r="AF45" s="85"/>
    </row>
    <row r="46" spans="1:32" s="60" customFormat="1" hidden="1" x14ac:dyDescent="0.2">
      <c r="A46" s="216" t="str">
        <f>IF(C46="","",MAX(A$20:A45)+1)</f>
        <v/>
      </c>
      <c r="B46" s="56" t="str">
        <f>IFERROR(VLOOKUP($C46,Таблица!$B$109:$E$112,2,FALSE),"")</f>
        <v/>
      </c>
      <c r="C46" s="48"/>
      <c r="D46" s="48"/>
      <c r="E46" s="50"/>
      <c r="F46" s="50"/>
      <c r="G46" s="50"/>
      <c r="H46" s="56"/>
      <c r="I46" s="56"/>
      <c r="J46" s="56" t="str">
        <f t="shared" ref="J46:J47" si="11">IF($C46="","","км")</f>
        <v/>
      </c>
      <c r="K46" s="51"/>
      <c r="L46" s="56">
        <f>IFERROR(VLOOKUP($C46,Таблица!$B$109:$K$112,3,FALSE),0)</f>
        <v>0</v>
      </c>
      <c r="M46" s="56" t="str">
        <f>IFERROR(VLOOKUP($C46,Таблица!$B$109:$F$112,5,FALSE),"")</f>
        <v/>
      </c>
      <c r="N46" s="56" t="str">
        <f>IFERROR(VLOOKUP($C46,Таблица!$B$109:$E$112,4,FALSE),"")</f>
        <v/>
      </c>
      <c r="O46" s="56">
        <f t="shared" ref="O46:O47" si="12">IF(E46="",1,E46)*IF(F46="",1,F46)*IF(G46="",1,G46)*IF(H46="",1,H46)*IF(I46="",1,I46)</f>
        <v>1</v>
      </c>
      <c r="P46" s="51"/>
      <c r="Q46" s="56" t="str">
        <f>IF(OR(AND(ISERROR(VLOOKUP($C46,Таблица!$B$109:$E$112,2,FALSE)),$C46&lt;&gt;""),P46&lt;&gt;""),"√","")</f>
        <v/>
      </c>
      <c r="R46" s="249">
        <f>IFERROR(ROUND(K46*IF(P46="",N46*O46,P46*O46),2),0)</f>
        <v>0</v>
      </c>
      <c r="S46" s="62">
        <f>ROUND(IFERROR(VLOOKUP($C46,Таблица!$B$109:$K$112,6,FALSE),80)/100*$AC46,2)</f>
        <v>0</v>
      </c>
      <c r="T46" s="62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0</v>
      </c>
      <c r="W46" s="84">
        <f>ROUND(IFERROR(VLOOKUP($C46,Таблица!$B$109:$K$112,10,FALSE),9)/100*$AC46,2)</f>
        <v>0</v>
      </c>
      <c r="X46" s="88">
        <f>IF($R46="",0,ROUND($R46*IF($M46&gt;=35,Таблица!$O$44,Таблица!$O$36)*(1+$K$55),2))</f>
        <v>0</v>
      </c>
      <c r="Y46" s="88">
        <f>IF($R46="",0,ROUND($R46*IF($M46&gt;=35,Таблица!$O$45,Таблица!$O$37)*IF($M$12,0.8,1)*(1+$K$55),2))</f>
        <v>0</v>
      </c>
      <c r="Z46" s="88">
        <f>IF($R46="",0,ROUND($R46*IF($M46&gt;=35,Таблица!$O$46,Таблица!$O$38)*(1+$K$55),2))</f>
        <v>0</v>
      </c>
      <c r="AA46" s="88">
        <f>IF($R46="",0,ROUND($R46*IF($M46&gt;=35,Таблица!$O$47,Таблица!$O$39)*(1+$K$55),2))</f>
        <v>0</v>
      </c>
      <c r="AB46" s="88">
        <f>IF($R46="",0,ROUND($R46*IF($M46&gt;=35,Таблица!$O$48,Таблица!$O$40)*(1+$K$55),2))</f>
        <v>0</v>
      </c>
      <c r="AC46" s="139">
        <f t="shared" ref="AC46:AC47" si="13">IFERROR(ROUND(R46*(1+$K$55),2)+SUM(X46:AB46),0)</f>
        <v>0</v>
      </c>
      <c r="AD46" s="89"/>
      <c r="AE46" s="85"/>
      <c r="AF46" s="85"/>
    </row>
    <row r="47" spans="1:32" s="60" customFormat="1" ht="13.15" hidden="1" x14ac:dyDescent="0.25">
      <c r="A47" s="216" t="str">
        <f>IF(C47="","",MAX(A$20:A46)+1)</f>
        <v/>
      </c>
      <c r="B47" s="56" t="str">
        <f>IFERROR(VLOOKUP($C47,Таблица!$B$113:$E$122,2,FALSE),"")</f>
        <v/>
      </c>
      <c r="C47" s="48"/>
      <c r="D47" s="48"/>
      <c r="E47" s="50"/>
      <c r="F47" s="50"/>
      <c r="G47" s="50"/>
      <c r="H47" s="56"/>
      <c r="I47" s="56"/>
      <c r="J47" s="56" t="str">
        <f t="shared" si="11"/>
        <v/>
      </c>
      <c r="K47" s="51"/>
      <c r="L47" s="56">
        <f>IFERROR(VLOOKUP($C47,Таблица!$B$113:$K$122,3,FALSE),0)</f>
        <v>0</v>
      </c>
      <c r="M47" s="56" t="str">
        <f>IFERROR(VLOOKUP($C47,Таблица!$B$113:$F$122,5,FALSE),"")</f>
        <v/>
      </c>
      <c r="N47" s="56" t="str">
        <f>IFERROR(VLOOKUP($C47,Таблица!$B$113:$E$122,4,FALSE),"")</f>
        <v/>
      </c>
      <c r="O47" s="56">
        <f t="shared" si="12"/>
        <v>1</v>
      </c>
      <c r="P47" s="51"/>
      <c r="Q47" s="56" t="str">
        <f>IF(OR(AND(ISERROR(VLOOKUP($C47,Таблица!$B$113:$E$122,2,FALSE)),$C47&lt;&gt;""),P47&lt;&gt;""),"√","")</f>
        <v/>
      </c>
      <c r="R47" s="249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39">
        <f t="shared" si="13"/>
        <v>0</v>
      </c>
      <c r="AD47" s="89"/>
      <c r="AE47" s="85"/>
      <c r="AF47" s="85"/>
    </row>
    <row r="48" spans="1:32" ht="13.15" hidden="1" x14ac:dyDescent="0.25">
      <c r="A48" s="216" t="str">
        <f>IF(C48="","",MAX(A$20:A47)+1)</f>
        <v/>
      </c>
      <c r="B48" s="1" t="str">
        <f>IFERROR(VLOOKUP($C48,Таблица!$B$113:$E$122,2,FALSE),"")</f>
        <v/>
      </c>
      <c r="C48" s="31"/>
      <c r="D48" s="31"/>
      <c r="E48" s="32"/>
      <c r="F48" s="32"/>
      <c r="G48" s="32"/>
      <c r="H48" s="1"/>
      <c r="I48" s="1"/>
      <c r="J48" s="1" t="str">
        <f>IF($C48="","","км")</f>
        <v/>
      </c>
      <c r="K48" s="42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6">
        <f t="shared" si="10"/>
        <v>1</v>
      </c>
      <c r="P48" s="42"/>
      <c r="Q48" s="1" t="str">
        <f>IF(OR(AND(ISERROR(VLOOKUP($C48,Таблица!$B$113:$E$122,2,FALSE)),$C48&lt;&gt;""),P48&lt;&gt;""),"√","")</f>
        <v/>
      </c>
      <c r="R48" s="249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39">
        <f>IFERROR(ROUND(R48*(1+$K$55),2)+SUM(X48:AB48),0)</f>
        <v>0</v>
      </c>
      <c r="AE48" s="85"/>
      <c r="AF48" s="85"/>
    </row>
    <row r="49" spans="1:35" ht="13.15" hidden="1" x14ac:dyDescent="0.25">
      <c r="A49" s="114"/>
      <c r="B49" s="1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49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ht="13.15" hidden="1" x14ac:dyDescent="0.25">
      <c r="A50" s="114" t="str">
        <f>IF(C50="","",MAX(A$20:A49)+1)</f>
        <v/>
      </c>
      <c r="B50" s="1" t="str">
        <f>IFERROR(VLOOKUP($C50,Таблица!$B$125:$E$129,2,FALSE),"")</f>
        <v/>
      </c>
      <c r="C50" s="31"/>
      <c r="D50" s="31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6">
        <f>IF(E50="",1,E50)*IF(F50="",1,F50)*IF(G50="",1,G50)*IF(H50="",1,H50)*IF(I50="",1,I50)</f>
        <v>1</v>
      </c>
      <c r="P50" s="42"/>
      <c r="Q50" s="1" t="str">
        <f>IF(OR(AND(ISERROR(VLOOKUP($C50,Таблица!$B$125:$E$129,2,FALSE)),$C50&lt;&gt;""),P50&lt;&gt;""),"√","")</f>
        <v/>
      </c>
      <c r="R50" s="249">
        <f>IFERROR(ROUND(K50*IF(P50="",N50*O50,P50*O50),2),0)</f>
        <v>0</v>
      </c>
      <c r="S50" s="62">
        <f>ROUND(IFERROR(VLOOKUP($C50,Таблица!$B$125:$K$129,6,FALSE),80)/100*$AC50,2)</f>
        <v>0</v>
      </c>
      <c r="T50" s="62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39">
        <f>IFERROR(ROUND(R50*(1+$K$55),2)+SUM(X50:AB50),0)</f>
        <v>0</v>
      </c>
      <c r="AE50" s="85"/>
      <c r="AF50" s="85"/>
      <c r="AI50" s="60"/>
    </row>
    <row r="51" spans="1:35" s="60" customFormat="1" ht="13.15" hidden="1" x14ac:dyDescent="0.25">
      <c r="A51" s="125" t="str">
        <f>IF(C51="","",MAX(A$20:A50)+1)</f>
        <v/>
      </c>
      <c r="B51" s="56" t="str">
        <f>IFERROR(VLOOKUP($C51,Таблица!$B$125:$E$129,2,FALSE),"")</f>
        <v/>
      </c>
      <c r="C51" s="48"/>
      <c r="D51" s="48"/>
      <c r="E51" s="50"/>
      <c r="F51" s="50"/>
      <c r="G51" s="50"/>
      <c r="H51" s="56"/>
      <c r="I51" s="56"/>
      <c r="J51" s="56" t="str">
        <f t="shared" ref="J51:J53" si="14">IF($C51="","","км")</f>
        <v/>
      </c>
      <c r="K51" s="51"/>
      <c r="L51" s="56">
        <f>IFERROR(VLOOKUP($C51,Таблица!$B$125:$K$129,3,FALSE),0)</f>
        <v>0</v>
      </c>
      <c r="M51" s="56" t="str">
        <f>IFERROR(VLOOKUP($C51,Таблица!$B$125:$F$129,5,FALSE),"")</f>
        <v/>
      </c>
      <c r="N51" s="56" t="str">
        <f>IFERROR(VLOOKUP($C51,Таблица!$B$125:$E$129,4,FALSE),"")</f>
        <v/>
      </c>
      <c r="O51" s="56">
        <f t="shared" ref="O51:O53" si="15">IF(E51="",1,E51)*IF(F51="",1,F51)*IF(G51="",1,G51)*IF(H51="",1,H51)*IF(I51="",1,I51)</f>
        <v>1</v>
      </c>
      <c r="P51" s="51"/>
      <c r="Q51" s="56" t="str">
        <f>IF(OR(AND(ISERROR(VLOOKUP($C51,Таблица!$B$125:$E$129,2,FALSE)),$C51&lt;&gt;""),P51&lt;&gt;""),"√","")</f>
        <v/>
      </c>
      <c r="R51" s="249">
        <f>IFERROR(ROUND(K51*IF(P51="",N51*O51,P51*O51),2),0)</f>
        <v>0</v>
      </c>
      <c r="S51" s="62">
        <f>ROUND(IFERROR(VLOOKUP($C51,Таблица!$B$125:$K$129,6,FALSE),80)/100*$AC51,2)</f>
        <v>0</v>
      </c>
      <c r="T51" s="62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39">
        <f t="shared" ref="AC51:AC53" si="16">IFERROR(ROUND(R51*(1+$K$55),2)+SUM(X51:AB51),0)</f>
        <v>0</v>
      </c>
      <c r="AD51" s="89"/>
      <c r="AE51" s="85"/>
      <c r="AF51" s="85"/>
    </row>
    <row r="52" spans="1:35" s="60" customFormat="1" ht="13.15" hidden="1" x14ac:dyDescent="0.25">
      <c r="A52" s="125" t="str">
        <f>IF(C52="","",MAX(A$20:A51)+1)</f>
        <v/>
      </c>
      <c r="B52" s="56" t="str">
        <f>IFERROR(VLOOKUP($C52,Таблица!$B$125:$E$129,2,FALSE),"")</f>
        <v/>
      </c>
      <c r="C52" s="48"/>
      <c r="D52" s="48"/>
      <c r="E52" s="50"/>
      <c r="F52" s="50"/>
      <c r="G52" s="50"/>
      <c r="H52" s="56"/>
      <c r="I52" s="56"/>
      <c r="J52" s="56" t="str">
        <f t="shared" si="14"/>
        <v/>
      </c>
      <c r="K52" s="51"/>
      <c r="L52" s="56">
        <f>IFERROR(VLOOKUP($C52,Таблица!$B$125:$K$129,3,FALSE),0)</f>
        <v>0</v>
      </c>
      <c r="M52" s="56" t="str">
        <f>IFERROR(VLOOKUP($C52,Таблица!$B$125:$F$129,5,FALSE),"")</f>
        <v/>
      </c>
      <c r="N52" s="56" t="str">
        <f>IFERROR(VLOOKUP($C52,Таблица!$B$125:$E$129,4,FALSE),"")</f>
        <v/>
      </c>
      <c r="O52" s="56">
        <f t="shared" si="15"/>
        <v>1</v>
      </c>
      <c r="P52" s="51"/>
      <c r="Q52" s="56" t="str">
        <f>IF(OR(AND(ISERROR(VLOOKUP($C52,Таблица!$B$125:$E$129,2,FALSE)),$C52&lt;&gt;""),P52&lt;&gt;""),"√","")</f>
        <v/>
      </c>
      <c r="R52" s="249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39">
        <f t="shared" si="16"/>
        <v>0</v>
      </c>
      <c r="AD52" s="89"/>
      <c r="AE52" s="85"/>
      <c r="AF52" s="85"/>
    </row>
    <row r="53" spans="1:35" s="60" customFormat="1" ht="13.15" hidden="1" x14ac:dyDescent="0.25">
      <c r="A53" s="125" t="str">
        <f>IF(C53="","",MAX(A$20:A52)+1)</f>
        <v/>
      </c>
      <c r="B53" s="56" t="str">
        <f>IFERROR(VLOOKUP($C53,Таблица!$B$125:$E$129,2,FALSE),"")</f>
        <v/>
      </c>
      <c r="C53" s="48"/>
      <c r="D53" s="48"/>
      <c r="E53" s="50"/>
      <c r="F53" s="50"/>
      <c r="G53" s="50"/>
      <c r="H53" s="56"/>
      <c r="I53" s="56"/>
      <c r="J53" s="56" t="str">
        <f t="shared" si="14"/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si="15"/>
        <v>1</v>
      </c>
      <c r="P53" s="51"/>
      <c r="Q53" s="56" t="str">
        <f>IF(OR(AND(ISERROR(VLOOKUP($C53,Таблица!$B$125:$E$129,2,FALSE)),$C53&lt;&gt;""),P53&lt;&gt;""),"√","")</f>
        <v/>
      </c>
      <c r="R53" s="249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39">
        <f t="shared" si="16"/>
        <v>0</v>
      </c>
      <c r="AD53" s="89"/>
      <c r="AE53" s="85"/>
      <c r="AF53" s="85"/>
    </row>
    <row r="54" spans="1:35" ht="13.15" hidden="1" x14ac:dyDescent="0.25">
      <c r="A54" s="125" t="str">
        <f>IF(C54="","",MAX(A$20:A53)+1)</f>
        <v/>
      </c>
      <c r="B54" s="1" t="str">
        <f>IFERROR(VLOOKUP($C54,Таблица!$B$125:$E$129,2,FALSE),"")</f>
        <v/>
      </c>
      <c r="C54" s="31"/>
      <c r="D54" s="31"/>
      <c r="E54" s="32"/>
      <c r="F54" s="32"/>
      <c r="G54" s="32"/>
      <c r="H54" s="1"/>
      <c r="I54" s="1"/>
      <c r="J54" s="1" t="str">
        <f>IF($C54="","","км")</f>
        <v/>
      </c>
      <c r="K54" s="42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6">
        <f>IF(E54="",1,E54)*IF(F54="",1,F54)*IF(G54="",1,G54)*IF(H54="",1,H54)*IF(I54="",1,I54)</f>
        <v>1</v>
      </c>
      <c r="P54" s="42"/>
      <c r="Q54" s="1" t="str">
        <f>IF(OR(AND(ISERROR(VLOOKUP($C54,Таблица!$B$125:$E$129,2,FALSE)),$C54&lt;&gt;""),P54&lt;&gt;""),"√","")</f>
        <v/>
      </c>
      <c r="R54" s="249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39">
        <f t="shared" ref="AC54" si="17">IFERROR(ROUND(R54*(1+$K$55),2)+SUM(X54:AB54),0)</f>
        <v>0</v>
      </c>
      <c r="AE54" s="85"/>
      <c r="AF54" s="85"/>
      <c r="AI54" s="60"/>
    </row>
    <row r="55" spans="1:35" ht="13.15" hidden="1" x14ac:dyDescent="0.25">
      <c r="A55" s="114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249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8" customFormat="1" hidden="1" x14ac:dyDescent="0.2">
      <c r="A56" s="132" t="s">
        <v>636</v>
      </c>
      <c r="B56" s="129"/>
      <c r="C56" s="129" t="s">
        <v>991</v>
      </c>
      <c r="D56" s="129"/>
      <c r="E56" s="129"/>
      <c r="F56" s="129"/>
      <c r="G56" s="129"/>
      <c r="H56" s="129"/>
      <c r="I56" s="129"/>
      <c r="J56" s="129"/>
      <c r="K56" s="129"/>
      <c r="L56" s="129">
        <v>0.4</v>
      </c>
      <c r="M56" s="129"/>
      <c r="N56" s="129"/>
      <c r="O56" s="129"/>
      <c r="P56" s="129"/>
      <c r="Q56" s="129"/>
      <c r="R56" s="250">
        <v>0</v>
      </c>
      <c r="S56" s="130">
        <f>SUMIF($M$24:$M$54,"&lt;=0,4",S$24:S$54)</f>
        <v>0</v>
      </c>
      <c r="T56" s="130">
        <f t="shared" ref="T56:AB56" si="18">SUMIF($M$24:$M$54,"&lt;=0,4",T$24:T$54)</f>
        <v>0</v>
      </c>
      <c r="U56" s="130">
        <f t="shared" si="18"/>
        <v>0</v>
      </c>
      <c r="V56" s="130">
        <f t="shared" si="18"/>
        <v>0</v>
      </c>
      <c r="W56" s="130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8" customFormat="1" hidden="1" x14ac:dyDescent="0.2">
      <c r="A57" s="132" t="s">
        <v>636</v>
      </c>
      <c r="B57" s="129"/>
      <c r="C57" s="129" t="s">
        <v>992</v>
      </c>
      <c r="D57" s="129"/>
      <c r="E57" s="129"/>
      <c r="F57" s="129"/>
      <c r="G57" s="129"/>
      <c r="H57" s="129"/>
      <c r="I57" s="129"/>
      <c r="J57" s="129"/>
      <c r="K57" s="129"/>
      <c r="L57" s="129">
        <v>1</v>
      </c>
      <c r="M57" s="129">
        <v>20</v>
      </c>
      <c r="N57" s="129"/>
      <c r="O57" s="129"/>
      <c r="P57" s="129"/>
      <c r="Q57" s="129"/>
      <c r="R57" s="250">
        <v>0</v>
      </c>
      <c r="S57" s="130">
        <f t="shared" ref="S57:AB57" si="19">SUMIF($M$24:$M$54,"&lt;=20",S$24:S$54)-S56</f>
        <v>4009.2700000000004</v>
      </c>
      <c r="T57" s="130">
        <f t="shared" si="19"/>
        <v>181.05</v>
      </c>
      <c r="U57" s="130">
        <f t="shared" si="19"/>
        <v>0</v>
      </c>
      <c r="V57" s="130">
        <f t="shared" si="19"/>
        <v>353.24</v>
      </c>
      <c r="W57" s="130">
        <f t="shared" si="19"/>
        <v>468.03000000000003</v>
      </c>
      <c r="X57" s="88">
        <f t="shared" si="19"/>
        <v>63.11</v>
      </c>
      <c r="Y57" s="88">
        <f t="shared" si="19"/>
        <v>105.19999999999999</v>
      </c>
      <c r="Z57" s="88">
        <f t="shared" si="19"/>
        <v>210.39999999999998</v>
      </c>
      <c r="AA57" s="88">
        <f t="shared" si="19"/>
        <v>109.40999999999998</v>
      </c>
      <c r="AB57" s="88">
        <f t="shared" si="19"/>
        <v>315.58999999999997</v>
      </c>
      <c r="AC57" s="89"/>
      <c r="AD57" s="89"/>
    </row>
    <row r="58" spans="1:35" s="128" customFormat="1" hidden="1" x14ac:dyDescent="0.2">
      <c r="A58" s="132" t="s">
        <v>636</v>
      </c>
      <c r="B58" s="129"/>
      <c r="C58" s="129" t="s">
        <v>994</v>
      </c>
      <c r="D58" s="129"/>
      <c r="E58" s="129"/>
      <c r="F58" s="129"/>
      <c r="G58" s="129"/>
      <c r="H58" s="129"/>
      <c r="I58" s="129"/>
      <c r="J58" s="129"/>
      <c r="K58" s="129"/>
      <c r="L58" s="129">
        <v>35</v>
      </c>
      <c r="M58" s="129">
        <v>35</v>
      </c>
      <c r="N58" s="129"/>
      <c r="O58" s="129"/>
      <c r="P58" s="129"/>
      <c r="Q58" s="129"/>
      <c r="R58" s="250">
        <v>0</v>
      </c>
      <c r="S58" s="130">
        <f t="shared" ref="S58:AB58" si="20">SUMIF($M$24:$M$54,"&lt;=35",S$24:S$54)-S57-S56</f>
        <v>0</v>
      </c>
      <c r="T58" s="130">
        <f t="shared" si="20"/>
        <v>0</v>
      </c>
      <c r="U58" s="130">
        <f t="shared" si="20"/>
        <v>0</v>
      </c>
      <c r="V58" s="130">
        <f t="shared" si="20"/>
        <v>0</v>
      </c>
      <c r="W58" s="130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8" customFormat="1" hidden="1" x14ac:dyDescent="0.2">
      <c r="A59" s="132" t="s">
        <v>636</v>
      </c>
      <c r="B59" s="129"/>
      <c r="C59" s="129" t="s">
        <v>993</v>
      </c>
      <c r="D59" s="129"/>
      <c r="E59" s="129"/>
      <c r="F59" s="129"/>
      <c r="G59" s="129"/>
      <c r="H59" s="129"/>
      <c r="I59" s="129"/>
      <c r="J59" s="129"/>
      <c r="K59" s="129"/>
      <c r="L59" s="129">
        <v>110</v>
      </c>
      <c r="M59" s="129">
        <v>220</v>
      </c>
      <c r="N59" s="129"/>
      <c r="O59" s="129"/>
      <c r="P59" s="129"/>
      <c r="Q59" s="129"/>
      <c r="R59" s="250">
        <v>0</v>
      </c>
      <c r="S59" s="130">
        <f t="shared" ref="S59:AB59" si="21">SUMIF($M$24:$M$54,"&gt;=110",S$24:S$54)</f>
        <v>0</v>
      </c>
      <c r="T59" s="130">
        <f t="shared" si="21"/>
        <v>0</v>
      </c>
      <c r="U59" s="130">
        <f t="shared" si="21"/>
        <v>0</v>
      </c>
      <c r="V59" s="130">
        <f t="shared" si="21"/>
        <v>0</v>
      </c>
      <c r="W59" s="130">
        <f t="shared" si="21"/>
        <v>0</v>
      </c>
      <c r="X59" s="88">
        <f t="shared" si="21"/>
        <v>0</v>
      </c>
      <c r="Y59" s="88">
        <f t="shared" si="21"/>
        <v>0</v>
      </c>
      <c r="Z59" s="88">
        <f t="shared" si="21"/>
        <v>0</v>
      </c>
      <c r="AA59" s="88">
        <f t="shared" si="21"/>
        <v>0</v>
      </c>
      <c r="AB59" s="88">
        <f t="shared" si="21"/>
        <v>0</v>
      </c>
      <c r="AC59" s="89"/>
      <c r="AD59" s="89"/>
    </row>
    <row r="60" spans="1:35" ht="13.15" hidden="1" x14ac:dyDescent="0.25">
      <c r="A60" s="114"/>
      <c r="B60" s="1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49">
        <v>0</v>
      </c>
      <c r="S60" s="85"/>
      <c r="T60" s="85"/>
      <c r="U60" s="86"/>
      <c r="V60" s="86"/>
      <c r="W60" s="86"/>
      <c r="AC60" s="89"/>
      <c r="AI60" s="60"/>
    </row>
    <row r="61" spans="1:35" ht="13.15" hidden="1" x14ac:dyDescent="0.25">
      <c r="A61" s="114" t="str">
        <f>IF(C61="","",MAX(A$20:A60)+1)</f>
        <v/>
      </c>
      <c r="B61" s="1" t="str">
        <f>IFERROR(VLOOKUP($C61,Таблица!$B$132:$E$145,2,FALSE),"")</f>
        <v/>
      </c>
      <c r="C61" s="31"/>
      <c r="D61" s="31"/>
      <c r="E61" s="32"/>
      <c r="F61" s="32"/>
      <c r="G61" s="32"/>
      <c r="H61" s="1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6">
        <f t="shared" ref="O61:O69" si="22">IF(E61="",1,E61)*IF(F61="",1,F61)*IF(G61="",1,G61)*IF(H61="",1,H61)*IF(I61="",1,I61)</f>
        <v>1</v>
      </c>
      <c r="P61" s="42"/>
      <c r="Q61" s="1" t="str">
        <f>IF(OR(AND(ISERROR(VLOOKUP($C61,Таблица!$B$132:$E$145,2,FALSE)),$C61&lt;&gt;""),P61&lt;&gt;""),"√","")</f>
        <v/>
      </c>
      <c r="R61" s="249">
        <f t="shared" ref="R61:R67" si="23">IFERROR(ROUND(K61*IF(P61="",N61*O61,P61*O61),2),0)</f>
        <v>0</v>
      </c>
      <c r="S61" s="62">
        <f>ROUND(IFERROR(VLOOKUP($C61,Таблица!$B$132:$K$145,6,FALSE),80)/100*$AC61,2)</f>
        <v>0</v>
      </c>
      <c r="T61" s="62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39">
        <f t="shared" ref="AC61:AC67" si="24">IFERROR(ROUND(R61*(1+$K$74),2)+SUM(X61:AB61),0)</f>
        <v>0</v>
      </c>
      <c r="AE61" s="85"/>
      <c r="AF61" s="85"/>
      <c r="AI61" s="60"/>
    </row>
    <row r="62" spans="1:35" ht="13.15" hidden="1" x14ac:dyDescent="0.25">
      <c r="A62" s="114" t="str">
        <f>IF(C62="","",MAX(A$20:A61)+1)</f>
        <v/>
      </c>
      <c r="B62" s="1" t="str">
        <f>IFERROR(VLOOKUP($C62,Таблица!$B$132:$E$145,2,FALSE),"")</f>
        <v/>
      </c>
      <c r="C62" s="31"/>
      <c r="D62" s="31"/>
      <c r="E62" s="32"/>
      <c r="F62" s="32"/>
      <c r="G62" s="32"/>
      <c r="H62" s="1"/>
      <c r="I62" s="1"/>
      <c r="J62" s="1" t="str">
        <f>IF($C62="","","шт.")</f>
        <v/>
      </c>
      <c r="K62" s="64"/>
      <c r="L62" s="5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6">
        <f t="shared" si="22"/>
        <v>1</v>
      </c>
      <c r="P62" s="42"/>
      <c r="Q62" s="1" t="str">
        <f>IF(OR(AND(ISERROR(VLOOKUP($C62,Таблица!$B$132:$E$145,2,FALSE)),$C62&lt;&gt;""),P62&lt;&gt;""),"√","")</f>
        <v/>
      </c>
      <c r="R62" s="249">
        <f t="shared" si="23"/>
        <v>0</v>
      </c>
      <c r="S62" s="62">
        <f>ROUND(IFERROR(VLOOKUP($C62,Таблица!$B$132:$K$145,6,FALSE),80)/100*$AC62,2)</f>
        <v>0</v>
      </c>
      <c r="T62" s="62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39">
        <f t="shared" si="24"/>
        <v>0</v>
      </c>
      <c r="AE62" s="85"/>
      <c r="AF62" s="85"/>
      <c r="AG62" s="85"/>
    </row>
    <row r="63" spans="1:35" ht="13.15" hidden="1" x14ac:dyDescent="0.25">
      <c r="A63" s="114" t="str">
        <f>IF(C63="","",MAX(A$20:A62)+1)</f>
        <v/>
      </c>
      <c r="B63" s="1" t="str">
        <f>IFERROR(VLOOKUP($C63,Таблица!$B$132:$E$145,2,FALSE),"")</f>
        <v/>
      </c>
      <c r="C63" s="31"/>
      <c r="D63" s="31"/>
      <c r="E63" s="32"/>
      <c r="F63" s="32"/>
      <c r="G63" s="32"/>
      <c r="H63" s="1"/>
      <c r="I63" s="1"/>
      <c r="J63" s="1" t="str">
        <f>IF($C63="","","шт.")</f>
        <v/>
      </c>
      <c r="K63" s="64"/>
      <c r="L63" s="5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si="22"/>
        <v>1</v>
      </c>
      <c r="P63" s="42"/>
      <c r="Q63" s="1" t="str">
        <f>IF(OR(AND(ISERROR(VLOOKUP($C63,Таблица!$B$132:$E$145,2,FALSE)),$C63&lt;&gt;""),P63&lt;&gt;""),"√","")</f>
        <v/>
      </c>
      <c r="R63" s="249">
        <f t="shared" si="23"/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39">
        <f t="shared" si="24"/>
        <v>0</v>
      </c>
      <c r="AE63" s="85"/>
      <c r="AF63" s="85"/>
    </row>
    <row r="64" spans="1:35" ht="13.15" hidden="1" x14ac:dyDescent="0.25">
      <c r="A64" s="114" t="str">
        <f>IF(C64="","",MAX(A$20:A63)+1)</f>
        <v/>
      </c>
      <c r="B64" s="1" t="str">
        <f>IFERROR(VLOOKUP($C64,Таблица!$B$132:$E$145,2,FALSE),"")</f>
        <v/>
      </c>
      <c r="C64" s="31"/>
      <c r="D64" s="31"/>
      <c r="E64" s="32"/>
      <c r="F64" s="32"/>
      <c r="G64" s="32"/>
      <c r="H64" s="1"/>
      <c r="I64" s="1"/>
      <c r="J64" s="1" t="str">
        <f>IF($C64="","","шт.")</f>
        <v/>
      </c>
      <c r="K64" s="64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49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39">
        <f t="shared" si="24"/>
        <v>0</v>
      </c>
      <c r="AE64" s="85"/>
      <c r="AF64" s="85"/>
      <c r="AG64" s="85"/>
    </row>
    <row r="65" spans="1:34" ht="13.15" hidden="1" x14ac:dyDescent="0.25">
      <c r="A65" s="114" t="str">
        <f>IF(C65="","",MAX(A$20:A64)+1)</f>
        <v/>
      </c>
      <c r="B65" s="1" t="str">
        <f>IFERROR(VLOOKUP($C65,Таблица!$B$132:$E$145,2,FALSE),"")</f>
        <v/>
      </c>
      <c r="C65" s="31"/>
      <c r="D65" s="31"/>
      <c r="E65" s="32"/>
      <c r="F65" s="32"/>
      <c r="G65" s="32"/>
      <c r="H65" s="1"/>
      <c r="I65" s="1"/>
      <c r="J65" s="1" t="str">
        <f t="shared" ref="J65:J67" si="25">IF($C65="","","шт.")</f>
        <v/>
      </c>
      <c r="K65" s="64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49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39">
        <f t="shared" si="24"/>
        <v>0</v>
      </c>
      <c r="AE65" s="85"/>
      <c r="AF65" s="85"/>
      <c r="AG65" s="85"/>
    </row>
    <row r="66" spans="1:34" ht="13.15" hidden="1" x14ac:dyDescent="0.25">
      <c r="A66" s="114" t="str">
        <f>IF(C66="","",MAX(A$20:A65)+1)</f>
        <v/>
      </c>
      <c r="B66" s="1" t="str">
        <f>IFERROR(VLOOKUP($C66,Таблица!$B$132:$E$145,2,FALSE),"")</f>
        <v/>
      </c>
      <c r="C66" s="31"/>
      <c r="D66" s="31"/>
      <c r="E66" s="32"/>
      <c r="F66" s="32"/>
      <c r="G66" s="32"/>
      <c r="H66" s="1"/>
      <c r="I66" s="1"/>
      <c r="J66" s="1" t="str">
        <f t="shared" si="25"/>
        <v/>
      </c>
      <c r="K66" s="64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49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39">
        <f t="shared" si="24"/>
        <v>0</v>
      </c>
      <c r="AE66" s="85"/>
      <c r="AF66" s="85"/>
      <c r="AG66" s="85"/>
    </row>
    <row r="67" spans="1:34" ht="13.15" hidden="1" x14ac:dyDescent="0.25">
      <c r="A67" s="114" t="str">
        <f>IF(C67="","",MAX(A$20:A66)+1)</f>
        <v/>
      </c>
      <c r="B67" s="1" t="str">
        <f>IFERROR(VLOOKUP($C67,Таблица!$B$132:$E$145,2,FALSE),"")</f>
        <v/>
      </c>
      <c r="C67" s="31"/>
      <c r="D67" s="31"/>
      <c r="E67" s="32"/>
      <c r="F67" s="32"/>
      <c r="G67" s="32"/>
      <c r="H67" s="1"/>
      <c r="I67" s="1"/>
      <c r="J67" s="1" t="str">
        <f t="shared" si="25"/>
        <v/>
      </c>
      <c r="K67" s="64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49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39">
        <f t="shared" si="24"/>
        <v>0</v>
      </c>
      <c r="AE67" s="85"/>
      <c r="AF67" s="85"/>
      <c r="AG67" s="85"/>
    </row>
    <row r="68" spans="1:34" ht="13.15" hidden="1" x14ac:dyDescent="0.25">
      <c r="A68" s="114"/>
      <c r="B68" s="1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49">
        <v>0</v>
      </c>
      <c r="S68" s="85"/>
      <c r="T68" s="85"/>
      <c r="U68" s="86"/>
      <c r="V68" s="86"/>
      <c r="W68" s="86"/>
      <c r="AC68" s="89"/>
      <c r="AF68" s="85"/>
    </row>
    <row r="69" spans="1:34" ht="13.15" hidden="1" x14ac:dyDescent="0.25">
      <c r="A69" s="114" t="str">
        <f>IF(C69="","",MAX(A$20:A68)+1)</f>
        <v/>
      </c>
      <c r="B69" s="1" t="str">
        <f>IFERROR(VLOOKUP($C69,Таблица!$B$146:$E$146,2,FALSE),"")</f>
        <v/>
      </c>
      <c r="C69" s="48"/>
      <c r="D69" s="31"/>
      <c r="E69" s="32"/>
      <c r="F69" s="32"/>
      <c r="G69" s="32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6">
        <f t="shared" si="22"/>
        <v>1</v>
      </c>
      <c r="P69" s="42"/>
      <c r="Q69" s="1" t="str">
        <f>IF(OR(AND(ISERROR(VLOOKUP($C69,Таблица!$B$146:$E$146,2,FALSE)),$C69&lt;&gt;""),P69&lt;&gt;""),"√","")</f>
        <v/>
      </c>
      <c r="R69" s="249">
        <f>IFERROR(ROUND(K69*IF(P69="",N69*O69,P69*O69),2),0)</f>
        <v>0</v>
      </c>
      <c r="S69" s="62">
        <f>ROUND(IFERROR(VLOOKUP($C69,Таблица!$B$146:$K$146,6,FALSE),45.5)/100*$AC69,2)</f>
        <v>0</v>
      </c>
      <c r="T69" s="62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39">
        <f>IFERROR(ROUND(R69*(1+$K$74),2)+SUM(X69:AB69),0)</f>
        <v>0</v>
      </c>
      <c r="AE69" s="85"/>
      <c r="AF69" s="85"/>
    </row>
    <row r="70" spans="1:34" s="60" customFormat="1" ht="13.15" hidden="1" x14ac:dyDescent="0.25">
      <c r="A70" s="125" t="str">
        <f>IF(C70="","",MAX(A$20:A69)+1)</f>
        <v/>
      </c>
      <c r="B70" s="56" t="str">
        <f>IFERROR(VLOOKUP($C70,Таблица!$B$146:$E$146,2,FALSE),"")</f>
        <v/>
      </c>
      <c r="C70" s="48"/>
      <c r="D70" s="48"/>
      <c r="E70" s="50"/>
      <c r="F70" s="50"/>
      <c r="G70" s="50"/>
      <c r="H70" s="56"/>
      <c r="I70" s="56"/>
      <c r="J70" s="56" t="str">
        <f t="shared" ref="J70:J73" si="26">IF($C70="","","шт.")</f>
        <v/>
      </c>
      <c r="K70" s="64"/>
      <c r="L70" s="56">
        <f>IFERROR(VLOOKUP($C70,Таблица!$B$146:$K$146,3,FALSE),0)</f>
        <v>0</v>
      </c>
      <c r="M70" s="56" t="str">
        <f>IFERROR(VLOOKUP($C70,Таблица!$B$146:$K$146,5,FALSE),"")</f>
        <v/>
      </c>
      <c r="N70" s="56" t="str">
        <f>IFERROR(VLOOKUP($C70,Таблица!$B$146:$K$146,4,FALSE),"")</f>
        <v/>
      </c>
      <c r="O70" s="56">
        <f t="shared" ref="O70:O73" si="27">IF(E70="",1,E70)*IF(F70="",1,F70)*IF(G70="",1,G70)*IF(H70="",1,H70)*IF(I70="",1,I70)</f>
        <v>1</v>
      </c>
      <c r="P70" s="51"/>
      <c r="Q70" s="56" t="str">
        <f>IF(OR(AND(ISERROR(VLOOKUP($C70,Таблица!$B$146:$E$146,2,FALSE)),$C70&lt;&gt;""),P70&lt;&gt;""),"√","")</f>
        <v/>
      </c>
      <c r="R70" s="249">
        <f>IFERROR(ROUND(K70*IF(P70="",N70*O70,P70*O70),2),0)</f>
        <v>0</v>
      </c>
      <c r="S70" s="62">
        <f>ROUND(IFERROR(VLOOKUP($C70,Таблица!$B$146:$K$146,6,FALSE),45.5)/100*$AC70,2)</f>
        <v>0</v>
      </c>
      <c r="T70" s="62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39">
        <f t="shared" ref="AC70:AC73" si="28">IFERROR(ROUND(R70*(1+$K$74),2)+SUM(X70:AB70),0)</f>
        <v>0</v>
      </c>
      <c r="AD70" s="89"/>
      <c r="AE70" s="85"/>
      <c r="AF70" s="85"/>
    </row>
    <row r="71" spans="1:34" s="60" customFormat="1" ht="13.15" hidden="1" x14ac:dyDescent="0.25">
      <c r="A71" s="125" t="str">
        <f>IF(C71="","",MAX(A$20:A70)+1)</f>
        <v/>
      </c>
      <c r="B71" s="56" t="str">
        <f>IFERROR(VLOOKUP($C71,Таблица!$B$146:$E$146,2,FALSE),"")</f>
        <v/>
      </c>
      <c r="C71" s="48"/>
      <c r="D71" s="48"/>
      <c r="E71" s="50"/>
      <c r="F71" s="50"/>
      <c r="G71" s="50"/>
      <c r="H71" s="56"/>
      <c r="I71" s="56"/>
      <c r="J71" s="56" t="str">
        <f t="shared" si="26"/>
        <v/>
      </c>
      <c r="K71" s="64"/>
      <c r="L71" s="56">
        <f>IFERROR(VLOOKUP($C71,Таблица!$B$146:$K$146,3,FALSE),0)</f>
        <v>0</v>
      </c>
      <c r="M71" s="56" t="str">
        <f>IFERROR(VLOOKUP($C71,Таблица!$B$146:$K$146,5,FALSE),"")</f>
        <v/>
      </c>
      <c r="N71" s="56" t="str">
        <f>IFERROR(VLOOKUP($C71,Таблица!$B$146:$K$146,4,FALSE),"")</f>
        <v/>
      </c>
      <c r="O71" s="56">
        <f t="shared" si="27"/>
        <v>1</v>
      </c>
      <c r="P71" s="51"/>
      <c r="Q71" s="56" t="str">
        <f>IF(OR(AND(ISERROR(VLOOKUP($C71,Таблица!$B$146:$E$146,2,FALSE)),$C71&lt;&gt;""),P71&lt;&gt;""),"√","")</f>
        <v/>
      </c>
      <c r="R71" s="249">
        <f>IFERROR(ROUND(K71*IF(P71="",N71*O71,P71*O71),2),0)</f>
        <v>0</v>
      </c>
      <c r="S71" s="62">
        <f>ROUND(IFERROR(VLOOKUP($C71,Таблица!$B$146:$K$146,6,FALSE),45.5)/100*$AC71,2)</f>
        <v>0</v>
      </c>
      <c r="T71" s="62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39">
        <f t="shared" si="28"/>
        <v>0</v>
      </c>
      <c r="AD71" s="89"/>
      <c r="AE71" s="85"/>
      <c r="AF71" s="85"/>
    </row>
    <row r="72" spans="1:34" s="60" customFormat="1" ht="13.15" hidden="1" x14ac:dyDescent="0.25">
      <c r="A72" s="125" t="str">
        <f>IF(C72="","",MAX(A$20:A71)+1)</f>
        <v/>
      </c>
      <c r="B72" s="56" t="str">
        <f>IFERROR(VLOOKUP($C72,Таблица!$B$146:$E$146,2,FALSE),"")</f>
        <v/>
      </c>
      <c r="C72" s="48"/>
      <c r="D72" s="48"/>
      <c r="E72" s="50"/>
      <c r="F72" s="50"/>
      <c r="G72" s="50"/>
      <c r="H72" s="56"/>
      <c r="I72" s="56"/>
      <c r="J72" s="56" t="str">
        <f t="shared" si="26"/>
        <v/>
      </c>
      <c r="K72" s="64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si="27"/>
        <v>1</v>
      </c>
      <c r="P72" s="51"/>
      <c r="Q72" s="56" t="str">
        <f>IF(OR(AND(ISERROR(VLOOKUP($C72,Таблица!$B$146:$E$146,2,FALSE)),$C72&lt;&gt;""),P72&lt;&gt;""),"√","")</f>
        <v/>
      </c>
      <c r="R72" s="249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39">
        <f t="shared" si="28"/>
        <v>0</v>
      </c>
      <c r="AD72" s="89"/>
      <c r="AE72" s="85"/>
      <c r="AF72" s="85"/>
    </row>
    <row r="73" spans="1:34" s="60" customFormat="1" ht="13.15" hidden="1" x14ac:dyDescent="0.25">
      <c r="A73" s="125" t="str">
        <f>IF(C73="","",MAX(A$20:A72)+1)</f>
        <v/>
      </c>
      <c r="B73" s="56" t="str">
        <f>IFERROR(VLOOKUP($C73,Таблица!$B$146:$E$146,2,FALSE),"")</f>
        <v/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4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49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39">
        <f t="shared" si="28"/>
        <v>0</v>
      </c>
      <c r="AD73" s="89"/>
      <c r="AE73" s="85"/>
      <c r="AF73" s="85"/>
    </row>
    <row r="74" spans="1:34" ht="13.15" hidden="1" x14ac:dyDescent="0.25">
      <c r="A74" s="114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49">
        <f>ROUND(SUM(R61:R73)*K74,2)</f>
        <v>0</v>
      </c>
      <c r="S74" s="85"/>
      <c r="T74" s="85"/>
      <c r="U74" s="86"/>
      <c r="V74" s="86"/>
      <c r="W74" s="86"/>
      <c r="AC74" s="89"/>
      <c r="AF74" s="85"/>
    </row>
    <row r="75" spans="1:34" ht="13.15" hidden="1" x14ac:dyDescent="0.25">
      <c r="A75" s="114"/>
      <c r="B75" s="1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49">
        <v>0</v>
      </c>
      <c r="S75" s="85"/>
      <c r="T75" s="85"/>
      <c r="U75" s="86"/>
      <c r="V75" s="86"/>
      <c r="W75" s="86"/>
      <c r="AC75" s="89"/>
      <c r="AF75" s="85"/>
    </row>
    <row r="76" spans="1:34" ht="42.75" customHeight="1" x14ac:dyDescent="0.2">
      <c r="A76" s="114">
        <f>IF(K76=0,"",MAX(A$20:A75)+1)</f>
        <v>4</v>
      </c>
      <c r="B76" s="1" t="str">
        <f>IFERROR(VLOOKUP($C76,Таблица!$B$149:$E$169,2,FALSE),"")</f>
        <v>31</v>
      </c>
      <c r="C76" s="31" t="s">
        <v>841</v>
      </c>
      <c r="D76" s="522" t="s">
        <v>1442</v>
      </c>
      <c r="E76" s="32"/>
      <c r="F76" s="32"/>
      <c r="G76" s="32"/>
      <c r="H76" s="32"/>
      <c r="I76" s="1" t="str">
        <f>IF(AND(K76&lt;0.1,K76&gt;0),1.35,"")</f>
        <v/>
      </c>
      <c r="J76" s="1" t="str">
        <f>IF($C76="","","км")</f>
        <v>км</v>
      </c>
      <c r="K76" s="51">
        <f>17.3-0.5</f>
        <v>16.8</v>
      </c>
      <c r="L76" s="1" t="str">
        <f>IFERROR(VLOOKUP($C76,Таблица!$B$149:$K$169,3,FALSE),0)</f>
        <v>2</v>
      </c>
      <c r="M76" s="1">
        <f>IFERROR(VLOOKUP($C76,Таблица!$B$149:$F$169,5,FALSE),"")</f>
        <v>10</v>
      </c>
      <c r="N76" s="1">
        <f>IFERROR(VLOOKUP($C76,Таблица!$B$149:$E$169,4,FALSE),"")</f>
        <v>6.3</v>
      </c>
      <c r="O76" s="56">
        <f t="shared" ref="O76:O87" si="29">IF(E76="",1,E76)*IF(F76="",1,F76)*IF(G76="",1,G76)*IF(H76="",1,H76)*IF(I76="",1,I76)</f>
        <v>1</v>
      </c>
      <c r="P76" s="42">
        <f>259*0.2</f>
        <v>51.800000000000004</v>
      </c>
      <c r="Q76" s="518" t="str">
        <f>IF(OR(AND(ISERROR(VLOOKUP($C76,Таблица!$B$146:$E$146,2,FALSE)),$C76&lt;&gt;""),P76&lt;&gt;""),"V","")</f>
        <v>V</v>
      </c>
      <c r="R76" s="249">
        <f t="shared" ref="R76:R87" si="30">IFERROR(ROUND(K76*IF(P76="",N76*O76,P76*O76),2),0)</f>
        <v>870.24</v>
      </c>
      <c r="S76" s="62">
        <f>ROUND(IFERROR(VLOOKUP($C76,Таблица!$B$149:$K$169,6,FALSE),80)/100*$AC76,2)</f>
        <v>829.17</v>
      </c>
      <c r="T76" s="62">
        <f>ROUND(IFERROR(VLOOKUP($C76,Таблица!$B$149:$K$169,7,FALSE),4)/100*$AC76,2)</f>
        <v>41.46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72.55</v>
      </c>
      <c r="W76" s="84">
        <f>ROUND(IFERROR(VLOOKUP($C76,Таблица!$B$149:$K$169,10,FALSE),9)/100*$AC76,2)</f>
        <v>93.28</v>
      </c>
      <c r="X76" s="88">
        <f>IF($R76="",0,ROUND($R76*IF($M76&gt;=35,Таблица!$O$44,Таблица!$O$36),2))</f>
        <v>13.05</v>
      </c>
      <c r="Y76" s="88">
        <f>IF($R76="",0,ROUND($R76*IF($M76&gt;=35,Таблица!$O$45,Таблица!$O$37)*IF($M$12,0.8,1),2))</f>
        <v>21.76</v>
      </c>
      <c r="Z76" s="88">
        <f>IF($R76="",0,ROUND($R76*IF($M76&gt;=35,Таблица!$O$46,Таблица!$O$38),2))</f>
        <v>43.51</v>
      </c>
      <c r="AA76" s="88">
        <f>IF($R76="",0,ROUND($R76*IF($M76&gt;=35,Таблица!$O$47,Таблица!$O$39),2))</f>
        <v>22.63</v>
      </c>
      <c r="AB76" s="88">
        <f>IF($R76="",0,ROUND($R76*IF($M76&gt;=35,Таблица!$O$48,Таблица!$O$40),2))</f>
        <v>65.27</v>
      </c>
      <c r="AC76" s="139">
        <f>IFERROR(R76+SUM(X76:AB76),0)</f>
        <v>1036.46</v>
      </c>
      <c r="AE76" s="85"/>
      <c r="AF76" s="85"/>
    </row>
    <row r="77" spans="1:34" ht="25.5" x14ac:dyDescent="0.2">
      <c r="A77" s="114">
        <f>IF(K77=0,"",MAX(A$20:A76)+1)</f>
        <v>5</v>
      </c>
      <c r="B77" s="1" t="str">
        <f>IFERROR(VLOOKUP($C77,Таблица!$B$149:$E$169,2,FALSE),"")</f>
        <v>31</v>
      </c>
      <c r="C77" s="31" t="s">
        <v>841</v>
      </c>
      <c r="D77" s="523" t="s">
        <v>1442</v>
      </c>
      <c r="E77" s="32"/>
      <c r="F77" s="32"/>
      <c r="G77" s="32"/>
      <c r="H77" s="32"/>
      <c r="I77" s="1" t="str">
        <f>IF(AND(K77&lt;0.1,K77&gt;0),1.35,"")</f>
        <v/>
      </c>
      <c r="J77" s="1" t="str">
        <f>IF($C77="","","км")</f>
        <v>км</v>
      </c>
      <c r="K77" s="42">
        <v>0.5</v>
      </c>
      <c r="L77" s="45" t="str">
        <f>IFERROR(VLOOKUP($C77,Таблица!$B$149:$K$169,3,FALSE),0)</f>
        <v>2</v>
      </c>
      <c r="M77" s="1">
        <f>IFERROR(VLOOKUP($C77,Таблица!$B$149:$F$169,5,FALSE),"")</f>
        <v>10</v>
      </c>
      <c r="N77" s="1">
        <f>IFERROR(VLOOKUP($C77,Таблица!$B$149:$E$169,4,FALSE),"")</f>
        <v>6.3</v>
      </c>
      <c r="O77" s="56">
        <f t="shared" si="29"/>
        <v>1</v>
      </c>
      <c r="P77" s="42">
        <f>219*0.2</f>
        <v>43.800000000000004</v>
      </c>
      <c r="Q77" s="1" t="str">
        <f>IF(OR(AND(ISERROR(VLOOKUP($C77,Таблица!$B$149:$E$169,2,FALSE)),$C77&lt;&gt;""),P77&lt;&gt;""),"√","")</f>
        <v>√</v>
      </c>
      <c r="R77" s="249">
        <f t="shared" si="30"/>
        <v>21.9</v>
      </c>
      <c r="S77" s="62">
        <f>ROUND(IFERROR(VLOOKUP($C77,Таблица!$B$149:$K$169,6,FALSE),80)/100*$AC77,2)</f>
        <v>20.87</v>
      </c>
      <c r="T77" s="62">
        <f>ROUND(IFERROR(VLOOKUP($C77,Таблица!$B$149:$K$169,7,FALSE),4)/100*$AC77,2)</f>
        <v>1.04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1.83</v>
      </c>
      <c r="W77" s="84">
        <f>ROUND(IFERROR(VLOOKUP($C77,Таблица!$B$149:$K$169,10,FALSE),9)/100*$AC77,2)</f>
        <v>2.35</v>
      </c>
      <c r="X77" s="88">
        <f>IF($R77="",0,ROUND($R77*IF($M77&gt;=35,Таблица!$O$44,Таблица!$O$36),2))</f>
        <v>0.33</v>
      </c>
      <c r="Y77" s="88">
        <f>IF($R77="",0,ROUND($R77*IF($M77&gt;=35,Таблица!$O$45,Таблица!$O$37)*IF($M$12,0.8,1),2))</f>
        <v>0.55000000000000004</v>
      </c>
      <c r="Z77" s="88">
        <f>IF($R77="",0,ROUND($R77*IF($M77&gt;=35,Таблица!$O$46,Таблица!$O$38),2))</f>
        <v>1.1000000000000001</v>
      </c>
      <c r="AA77" s="88">
        <f>IF($R77="",0,ROUND($R77*IF($M77&gt;=35,Таблица!$O$47,Таблица!$O$39),2))</f>
        <v>0.56999999999999995</v>
      </c>
      <c r="AB77" s="88">
        <f>IF($R77="",0,ROUND($R77*IF($M77&gt;=35,Таблица!$O$48,Таблица!$O$40),2))</f>
        <v>1.64</v>
      </c>
      <c r="AC77" s="139">
        <f t="shared" ref="AC77:AC87" si="31">IFERROR(R77+SUM(X77:AB77),0)</f>
        <v>26.09</v>
      </c>
      <c r="AE77" s="85"/>
      <c r="AF77" s="85"/>
    </row>
    <row r="78" spans="1:34" hidden="1" x14ac:dyDescent="0.2">
      <c r="A78" s="114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51"/>
      <c r="L78" s="45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si="29"/>
        <v>1</v>
      </c>
      <c r="P78" s="51"/>
      <c r="Q78" s="1" t="str">
        <f>IF(OR(AND(ISERROR(VLOOKUP($C78,Таблица!$B$149:$E$169,2,FALSE)),$C78&lt;&gt;""),P78&lt;&gt;""),"√","")</f>
        <v/>
      </c>
      <c r="R78" s="249">
        <f t="shared" si="30"/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39">
        <f t="shared" si="31"/>
        <v>0</v>
      </c>
      <c r="AE78" s="85"/>
      <c r="AF78" s="85"/>
    </row>
    <row r="79" spans="1:34" s="44" customFormat="1" ht="13.15" hidden="1" x14ac:dyDescent="0.25">
      <c r="A79" s="114" t="str">
        <f>IF(K79=0,"",MAX(A$20:A78)+1)</f>
        <v/>
      </c>
      <c r="B79" s="45" t="str">
        <f>IFERROR(VLOOKUP($C79,Таблица!$B$172:$E$179,2,FALSE),"")</f>
        <v/>
      </c>
      <c r="C79" s="48"/>
      <c r="D79" s="31"/>
      <c r="E79" s="32"/>
      <c r="F79" s="32"/>
      <c r="G79" s="32"/>
      <c r="H79" s="32"/>
      <c r="I79" s="45" t="str">
        <f t="shared" ref="I79:I87" si="32">IF(AND(K79&lt;0.1,K79&gt;0),1.35,"")</f>
        <v/>
      </c>
      <c r="J79" s="45" t="str">
        <f>IF($C79="","","шт")</f>
        <v/>
      </c>
      <c r="K79" s="51"/>
      <c r="L79" s="45">
        <f>IFERROR(VLOOKUP($C79,Таблица!$B$172:$K$179,3,FALSE),0)</f>
        <v>0</v>
      </c>
      <c r="M79" s="45" t="str">
        <f>IFERROR(VLOOKUP($C79,Таблица!$B$172:$F$179,5,FALSE),"")</f>
        <v/>
      </c>
      <c r="N79" s="45" t="str">
        <f>IFERROR(VLOOKUP($C79,Таблица!$B$172:$E$179,4,FALSE),"")</f>
        <v/>
      </c>
      <c r="O79" s="56">
        <f t="shared" si="29"/>
        <v>1</v>
      </c>
      <c r="P79" s="51"/>
      <c r="Q79" s="45" t="str">
        <f>IF(OR(AND(ISERROR(VLOOKUP($C79,Таблица!$B$172:$E$179,2,FALSE)),$C79&lt;&gt;""),P79&lt;&gt;""),"√","")</f>
        <v/>
      </c>
      <c r="R79" s="249">
        <f t="shared" si="30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39">
        <f t="shared" si="31"/>
        <v>0</v>
      </c>
      <c r="AD79" s="89"/>
      <c r="AE79" s="85"/>
      <c r="AF79" s="85"/>
      <c r="AG79" s="60"/>
      <c r="AH79" s="60"/>
    </row>
    <row r="80" spans="1:34" s="44" customFormat="1" ht="13.15" hidden="1" x14ac:dyDescent="0.25">
      <c r="A80" s="114" t="str">
        <f>IF(K80=0,"",MAX(A$20:A79)+1)</f>
        <v/>
      </c>
      <c r="B80" s="45" t="str">
        <f>IFERROR(VLOOKUP($C80,Таблица!$B$172:$E$179,2,FALSE),"")</f>
        <v/>
      </c>
      <c r="C80" s="31"/>
      <c r="D80" s="31"/>
      <c r="E80" s="32"/>
      <c r="F80" s="32"/>
      <c r="G80" s="32"/>
      <c r="H80" s="32"/>
      <c r="I80" s="45" t="str">
        <f t="shared" si="32"/>
        <v/>
      </c>
      <c r="J80" s="45" t="str">
        <f t="shared" ref="J80:J81" si="33">IF($C80="","","шт")</f>
        <v/>
      </c>
      <c r="K80" s="51"/>
      <c r="L80" s="45">
        <f>IFERROR(VLOOKUP($C80,Таблица!$B$172:$K$179,3,FALSE),0)</f>
        <v>0</v>
      </c>
      <c r="M80" s="45" t="str">
        <f>IFERROR(VLOOKUP($C80,Таблица!$B$172:$F$179,5,FALSE),"")</f>
        <v/>
      </c>
      <c r="N80" s="45" t="str">
        <f>IFERROR(VLOOKUP($C80,Таблица!$B$172:$E$179,4,FALSE),"")</f>
        <v/>
      </c>
      <c r="O80" s="56">
        <f t="shared" si="29"/>
        <v>1</v>
      </c>
      <c r="P80" s="51"/>
      <c r="Q80" s="45" t="str">
        <f>IF(OR(AND(ISERROR(VLOOKUP($C80,Таблица!$B$172:$E$179,2,FALSE)),$C80&lt;&gt;""),P80&lt;&gt;""),"√","")</f>
        <v/>
      </c>
      <c r="R80" s="249">
        <f t="shared" si="30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39">
        <f t="shared" si="31"/>
        <v>0</v>
      </c>
      <c r="AD80" s="89"/>
      <c r="AE80" s="85"/>
      <c r="AF80" s="85"/>
      <c r="AG80" s="60"/>
      <c r="AH80" s="60"/>
    </row>
    <row r="81" spans="1:34" s="44" customFormat="1" ht="13.15" hidden="1" x14ac:dyDescent="0.25">
      <c r="A81" s="114" t="str">
        <f>IF(K81=0,"",MAX(A$20:A80)+1)</f>
        <v/>
      </c>
      <c r="B81" s="45" t="str">
        <f>IFERROR(VLOOKUP($C81,Таблица!$B$172:$E$179,2,FALSE),"")</f>
        <v/>
      </c>
      <c r="C81" s="31"/>
      <c r="D81" s="31"/>
      <c r="E81" s="32"/>
      <c r="F81" s="32"/>
      <c r="G81" s="32"/>
      <c r="H81" s="32"/>
      <c r="I81" s="45" t="str">
        <f t="shared" si="32"/>
        <v/>
      </c>
      <c r="J81" s="45" t="str">
        <f t="shared" si="33"/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29"/>
        <v>1</v>
      </c>
      <c r="P81" s="51"/>
      <c r="Q81" s="45" t="str">
        <f>IF(OR(AND(ISERROR(VLOOKUP($C81,Таблица!$B$172:$E$179,2,FALSE)),$C81&lt;&gt;""),P81&lt;&gt;""),"√","")</f>
        <v/>
      </c>
      <c r="R81" s="249">
        <f t="shared" si="30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39">
        <f t="shared" si="31"/>
        <v>0</v>
      </c>
      <c r="AD81" s="89"/>
      <c r="AE81" s="85"/>
      <c r="AF81" s="85"/>
      <c r="AG81" s="60"/>
      <c r="AH81" s="60"/>
    </row>
    <row r="82" spans="1:34" s="44" customFormat="1" ht="13.15" hidden="1" x14ac:dyDescent="0.25">
      <c r="A82" s="114" t="str">
        <f>IF(K82=0,"",MAX(A$20:A81)+1)</f>
        <v/>
      </c>
      <c r="B82" s="45" t="str">
        <f>IFERROR(VLOOKUP($C82,Таблица!$B$182:$E$190,2,FALSE),"")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>IF($C82="","","м3")</f>
        <v/>
      </c>
      <c r="K82" s="51"/>
      <c r="L82" s="45">
        <f>IFERROR(VLOOKUP($C82,Таблица!$B$182:$K$190,3,FALSE),0)</f>
        <v>0</v>
      </c>
      <c r="M82" s="45" t="str">
        <f>IFERROR(VLOOKUP($C82,Таблица!$B$182:$F$190,5,FALSE),"")</f>
        <v/>
      </c>
      <c r="N82" s="45" t="str">
        <f>IFERROR(VLOOKUP($C82,Таблица!$B$182:$E$190,4,FALSE),"")</f>
        <v/>
      </c>
      <c r="O82" s="56">
        <f t="shared" si="29"/>
        <v>1</v>
      </c>
      <c r="P82" s="51"/>
      <c r="Q82" s="45" t="str">
        <f>IF(OR(AND(ISERROR(VLOOKUP($C82,Таблица!$B$182:$E$190,2,FALSE)),$C82&lt;&gt;""),P82&lt;&gt;""),"√","")</f>
        <v/>
      </c>
      <c r="R82" s="249">
        <f t="shared" si="30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39">
        <f t="shared" si="31"/>
        <v>0</v>
      </c>
      <c r="AD82" s="89"/>
      <c r="AE82" s="85"/>
      <c r="AF82" s="85"/>
      <c r="AG82" s="60"/>
      <c r="AH82" s="60"/>
    </row>
    <row r="83" spans="1:34" s="44" customFormat="1" ht="13.15" hidden="1" x14ac:dyDescent="0.25">
      <c r="A83" s="114" t="str">
        <f>IF(K83=0,"",MAX(A$20:A82)+1)</f>
        <v/>
      </c>
      <c r="B83" s="45" t="str">
        <f>IFERROR(VLOOKUP($C83,Таблица!$B$182:$E$190,2,FALSE),"")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ref="J83:J84" si="34">IF($C83="","","м3")</f>
        <v/>
      </c>
      <c r="K83" s="51"/>
      <c r="L83" s="45">
        <f>IFERROR(VLOOKUP($C83,Таблица!$B$182:$K$190,3,FALSE),0)</f>
        <v>0</v>
      </c>
      <c r="M83" s="45" t="str">
        <f>IFERROR(VLOOKUP($C83,Таблица!$B$182:$F$190,5,FALSE),"")</f>
        <v/>
      </c>
      <c r="N83" s="45" t="str">
        <f>IFERROR(VLOOKUP($C83,Таблица!$B$182:$E$190,4,FALSE),"")</f>
        <v/>
      </c>
      <c r="O83" s="56">
        <f t="shared" si="29"/>
        <v>1</v>
      </c>
      <c r="P83" s="51"/>
      <c r="Q83" s="45" t="str">
        <f>IF(OR(AND(ISERROR(VLOOKUP($C83,Таблица!$B$182:$E$190,2,FALSE)),$C83&lt;&gt;""),P83&lt;&gt;""),"√","")</f>
        <v/>
      </c>
      <c r="R83" s="249">
        <f t="shared" si="30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39">
        <f t="shared" si="31"/>
        <v>0</v>
      </c>
      <c r="AD83" s="89"/>
      <c r="AE83" s="85"/>
      <c r="AF83" s="85"/>
      <c r="AG83" s="60"/>
      <c r="AH83" s="60"/>
    </row>
    <row r="84" spans="1:34" s="44" customFormat="1" ht="13.15" hidden="1" x14ac:dyDescent="0.25">
      <c r="A84" s="114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 t="shared" si="34"/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29"/>
        <v>1</v>
      </c>
      <c r="P84" s="51"/>
      <c r="Q84" s="45" t="str">
        <f>IF(OR(AND(ISERROR(VLOOKUP($C84,Таблица!$B$182:$E$190,2,FALSE)),$C84&lt;&gt;""),P84&lt;&gt;""),"√","")</f>
        <v/>
      </c>
      <c r="R84" s="249">
        <f t="shared" si="30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39">
        <f t="shared" si="31"/>
        <v>0</v>
      </c>
      <c r="AD84" s="89"/>
      <c r="AE84" s="85"/>
      <c r="AF84" s="85"/>
      <c r="AG84" s="60"/>
      <c r="AH84" s="60"/>
    </row>
    <row r="85" spans="1:34" s="44" customFormat="1" ht="13.15" hidden="1" x14ac:dyDescent="0.25">
      <c r="A85" s="114" t="str">
        <f>IF(K85=0,"",MAX(A$20:A84)+1)</f>
        <v/>
      </c>
      <c r="B85" s="45" t="str">
        <f>IFERROR(VLOOKUP($C85,Таблица!$B$193:$E$201,2,FALSE),"")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>IF($C85="","","т")</f>
        <v/>
      </c>
      <c r="K85" s="51"/>
      <c r="L85" s="45">
        <f>IFERROR(VLOOKUP($C85,Таблица!$B$193:$K$201,3,FALSE),0)</f>
        <v>0</v>
      </c>
      <c r="M85" s="45" t="str">
        <f>IFERROR(VLOOKUP($C85,Таблица!$B$193:$F$201,5,FALSE),"")</f>
        <v/>
      </c>
      <c r="N85" s="45" t="str">
        <f>IFERROR(VLOOKUP($C85,Таблица!$B$193:$E$201,4,FALSE),"")</f>
        <v/>
      </c>
      <c r="O85" s="56">
        <f t="shared" si="29"/>
        <v>1</v>
      </c>
      <c r="P85" s="51"/>
      <c r="Q85" s="45" t="str">
        <f>IF(OR(AND(ISERROR(VLOOKUP($C85,Таблица!$B$193:$E$201,2,FALSE)),$C85&lt;&gt;""),P85&lt;&gt;""),"√","")</f>
        <v/>
      </c>
      <c r="R85" s="249">
        <f t="shared" si="30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39">
        <f t="shared" si="31"/>
        <v>0</v>
      </c>
      <c r="AD85" s="89"/>
      <c r="AE85" s="85"/>
      <c r="AF85" s="85"/>
      <c r="AG85" s="60"/>
      <c r="AH85" s="60"/>
    </row>
    <row r="86" spans="1:34" s="44" customFormat="1" ht="13.15" hidden="1" x14ac:dyDescent="0.25">
      <c r="A86" s="114" t="str">
        <f>IF(K86=0,"",MAX(A$20:A85)+1)</f>
        <v/>
      </c>
      <c r="B86" s="45" t="str">
        <f>IFERROR(VLOOKUP($C86,Таблица!$B$193:$E$201,2,FALSE),"")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ref="J86:J87" si="35">IF($C86="","","т")</f>
        <v/>
      </c>
      <c r="K86" s="51"/>
      <c r="L86" s="45">
        <f>IFERROR(VLOOKUP($C86,Таблица!$B$193:$K$201,3,FALSE),0)</f>
        <v>0</v>
      </c>
      <c r="M86" s="45" t="str">
        <f>IFERROR(VLOOKUP($C86,Таблица!$B$193:$F$201,5,FALSE),"")</f>
        <v/>
      </c>
      <c r="N86" s="45" t="str">
        <f>IFERROR(VLOOKUP($C86,Таблица!$B$193:$E$201,4,FALSE),"")</f>
        <v/>
      </c>
      <c r="O86" s="56">
        <f t="shared" si="29"/>
        <v>1</v>
      </c>
      <c r="P86" s="51"/>
      <c r="Q86" s="45" t="str">
        <f>IF(OR(AND(ISERROR(VLOOKUP($C86,Таблица!$B$193:$E$201,2,FALSE)),$C86&lt;&gt;""),P86&lt;&gt;""),"√","")</f>
        <v/>
      </c>
      <c r="R86" s="249">
        <f t="shared" si="30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39">
        <f t="shared" si="31"/>
        <v>0</v>
      </c>
      <c r="AD86" s="89"/>
      <c r="AE86" s="85"/>
      <c r="AF86" s="85"/>
      <c r="AG86" s="60"/>
      <c r="AH86" s="60"/>
    </row>
    <row r="87" spans="1:34" ht="13.15" hidden="1" x14ac:dyDescent="0.25">
      <c r="A87" s="114" t="str">
        <f>IF(K87=0,"",MAX(A$20:A86)+1)</f>
        <v/>
      </c>
      <c r="B87" s="45" t="str">
        <f>IFERROR(VLOOKUP($C87,Таблица!$B$193:$E$201,2,FALSE),"")</f>
        <v/>
      </c>
      <c r="C87" s="48"/>
      <c r="D87" s="31"/>
      <c r="E87" s="32"/>
      <c r="F87" s="32"/>
      <c r="G87" s="32"/>
      <c r="H87" s="32"/>
      <c r="I87" s="45" t="str">
        <f t="shared" si="32"/>
        <v/>
      </c>
      <c r="J87" s="45" t="str">
        <f t="shared" si="35"/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29"/>
        <v>1</v>
      </c>
      <c r="P87" s="51"/>
      <c r="Q87" s="45" t="str">
        <f>IF(OR(AND(ISERROR(VLOOKUP($C87,Таблица!$B$193:$E$201,2,FALSE)),$C87&lt;&gt;""),P87&lt;&gt;""),"√","")</f>
        <v/>
      </c>
      <c r="R87" s="249">
        <f t="shared" si="30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39">
        <f t="shared" si="31"/>
        <v>0</v>
      </c>
      <c r="AE87" s="85"/>
      <c r="AF87" s="85"/>
    </row>
    <row r="88" spans="1:34" hidden="1" x14ac:dyDescent="0.2">
      <c r="A88" s="114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49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3">
        <f>SUM(S88:W88)-R88</f>
        <v>0</v>
      </c>
      <c r="AA88" s="88"/>
    </row>
    <row r="89" spans="1:34" hidden="1" x14ac:dyDescent="0.2">
      <c r="A89" s="114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49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3">
        <f>SUM(S89:W89)-R89</f>
        <v>0</v>
      </c>
      <c r="AA89" s="88"/>
    </row>
    <row r="90" spans="1:34" s="68" customFormat="1" hidden="1" x14ac:dyDescent="0.2">
      <c r="A90" s="133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1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7"/>
      <c r="AD90" s="89"/>
    </row>
    <row r="91" spans="1:34" s="68" customFormat="1" hidden="1" x14ac:dyDescent="0.2">
      <c r="A91" s="133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1">
        <v>0</v>
      </c>
      <c r="S91" s="87">
        <f>SUMIF($M$76:$M$87,"&lt;=20",S$76:S$87)-S90-IF($P$13&gt;$M91,SUMIF($M$76:$M$87,"=0",S$76:S$87))+SUM(S69:S73)</f>
        <v>850.04</v>
      </c>
      <c r="T91" s="87">
        <f t="shared" ref="T91:AB91" si="38">SUMIF($M$76:$M$87,"&lt;=20",T$76:T$87)-T90-IF($P$13&gt;$M91,SUMIF($M$76:$M$87,"=0",T$76:T$87))+SUM(T69:T73)</f>
        <v>42.5</v>
      </c>
      <c r="U91" s="87">
        <f t="shared" si="38"/>
        <v>0</v>
      </c>
      <c r="V91" s="87">
        <f t="shared" si="38"/>
        <v>74.38</v>
      </c>
      <c r="W91" s="87">
        <f t="shared" si="38"/>
        <v>95.63</v>
      </c>
      <c r="X91" s="87">
        <f t="shared" si="38"/>
        <v>13.38</v>
      </c>
      <c r="Y91" s="87">
        <f t="shared" si="38"/>
        <v>22.310000000000002</v>
      </c>
      <c r="Z91" s="87">
        <f t="shared" si="38"/>
        <v>44.61</v>
      </c>
      <c r="AA91" s="87">
        <f t="shared" si="38"/>
        <v>23.2</v>
      </c>
      <c r="AB91" s="87">
        <f t="shared" si="38"/>
        <v>66.91</v>
      </c>
      <c r="AC91" s="137"/>
      <c r="AD91" s="89"/>
    </row>
    <row r="92" spans="1:34" s="68" customFormat="1" hidden="1" x14ac:dyDescent="0.2">
      <c r="A92" s="133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1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7"/>
      <c r="AD92" s="89"/>
    </row>
    <row r="93" spans="1:34" s="68" customFormat="1" hidden="1" x14ac:dyDescent="0.2">
      <c r="A93" s="133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1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7"/>
      <c r="AD93" s="89"/>
    </row>
    <row r="94" spans="1:34" s="68" customFormat="1" hidden="1" x14ac:dyDescent="0.2">
      <c r="A94" s="133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1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7"/>
      <c r="AD94" s="89"/>
    </row>
    <row r="95" spans="1:34" x14ac:dyDescent="0.2">
      <c r="A95" s="114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10</v>
      </c>
      <c r="N95" s="1"/>
      <c r="O95" s="1"/>
      <c r="P95" s="1"/>
      <c r="Q95" s="1"/>
      <c r="R95" s="249">
        <f>SUM(R24:R87)</f>
        <v>5100.0099999999993</v>
      </c>
      <c r="S95" s="127">
        <f>SUM(S96:S100)</f>
        <v>4859.3100000000004</v>
      </c>
      <c r="T95" s="127">
        <f t="shared" ref="T95:AB95" si="42">SUM(T96:T100)</f>
        <v>223.55</v>
      </c>
      <c r="U95" s="131">
        <f t="shared" si="42"/>
        <v>0</v>
      </c>
      <c r="V95" s="131">
        <f t="shared" si="42"/>
        <v>427.62</v>
      </c>
      <c r="W95" s="131">
        <f t="shared" si="42"/>
        <v>563.66000000000008</v>
      </c>
      <c r="X95" s="142">
        <f t="shared" si="42"/>
        <v>76.489999999999995</v>
      </c>
      <c r="Y95" s="142">
        <f t="shared" si="42"/>
        <v>127.50999999999999</v>
      </c>
      <c r="Z95" s="142">
        <f t="shared" si="42"/>
        <v>255.01</v>
      </c>
      <c r="AA95" s="142">
        <f t="shared" si="42"/>
        <v>132.60999999999999</v>
      </c>
      <c r="AB95" s="142">
        <f t="shared" si="42"/>
        <v>382.5</v>
      </c>
      <c r="AC95" s="143">
        <f>SUM(X95:AB95)</f>
        <v>974.12</v>
      </c>
    </row>
    <row r="96" spans="1:34" s="68" customFormat="1" hidden="1" x14ac:dyDescent="0.2">
      <c r="A96" s="133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1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3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1"/>
      <c r="S97" s="140">
        <f t="shared" ref="S97:Y99" si="44">S57+S91</f>
        <v>4859.3100000000004</v>
      </c>
      <c r="T97" s="140">
        <f t="shared" si="44"/>
        <v>223.55</v>
      </c>
      <c r="U97" s="140">
        <f t="shared" si="44"/>
        <v>0</v>
      </c>
      <c r="V97" s="140">
        <f t="shared" si="44"/>
        <v>427.62</v>
      </c>
      <c r="W97" s="140">
        <f t="shared" si="44"/>
        <v>563.66000000000008</v>
      </c>
      <c r="X97" s="141">
        <f t="shared" si="44"/>
        <v>76.489999999999995</v>
      </c>
      <c r="Y97" s="141">
        <f t="shared" si="44"/>
        <v>127.50999999999999</v>
      </c>
      <c r="Z97" s="141">
        <f t="shared" ref="Z97:AB97" si="45">Z57+Z91</f>
        <v>255.01</v>
      </c>
      <c r="AA97" s="141">
        <f t="shared" si="45"/>
        <v>132.60999999999999</v>
      </c>
      <c r="AB97" s="141">
        <f t="shared" si="45"/>
        <v>382.5</v>
      </c>
      <c r="AC97" s="89"/>
      <c r="AD97" s="89"/>
    </row>
    <row r="98" spans="1:31" s="68" customFormat="1" hidden="1" x14ac:dyDescent="0.2">
      <c r="A98" s="133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1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3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1"/>
      <c r="S99" s="87">
        <f t="shared" si="44"/>
        <v>0</v>
      </c>
      <c r="T99" s="87">
        <f t="shared" si="44"/>
        <v>0</v>
      </c>
      <c r="U99" s="87">
        <f t="shared" si="44"/>
        <v>0</v>
      </c>
      <c r="V99" s="87">
        <f t="shared" si="44"/>
        <v>0</v>
      </c>
      <c r="W99" s="87">
        <f t="shared" si="44"/>
        <v>0</v>
      </c>
      <c r="X99" s="88">
        <f t="shared" si="44"/>
        <v>0</v>
      </c>
      <c r="Y99" s="88">
        <f t="shared" si="44"/>
        <v>0</v>
      </c>
      <c r="Z99" s="88">
        <f t="shared" ref="Z99:AB99" si="47">Z59+Z93</f>
        <v>0</v>
      </c>
      <c r="AA99" s="88">
        <f t="shared" si="47"/>
        <v>0</v>
      </c>
      <c r="AB99" s="88">
        <f t="shared" si="47"/>
        <v>0</v>
      </c>
      <c r="AC99" s="89"/>
      <c r="AD99" s="89"/>
    </row>
    <row r="100" spans="1:31" s="68" customFormat="1" hidden="1" x14ac:dyDescent="0.2">
      <c r="A100" s="188" t="s">
        <v>636</v>
      </c>
      <c r="B100" s="189"/>
      <c r="C100" s="65" t="s">
        <v>1345</v>
      </c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252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1"/>
      <c r="B101" s="182"/>
      <c r="C101" s="182" t="s">
        <v>469</v>
      </c>
      <c r="D101" s="182"/>
      <c r="E101" s="182"/>
      <c r="F101" s="182"/>
      <c r="G101" s="182"/>
      <c r="H101" s="182"/>
      <c r="I101" s="182"/>
      <c r="J101" s="182" t="s">
        <v>403</v>
      </c>
      <c r="K101" s="184">
        <f ca="1">$M$11-1</f>
        <v>9.000000000000008E-2</v>
      </c>
      <c r="L101" s="184"/>
      <c r="M101" s="182"/>
      <c r="N101" s="182"/>
      <c r="O101" s="182"/>
      <c r="P101" s="124" t="s">
        <v>403</v>
      </c>
      <c r="Q101" s="182"/>
      <c r="R101" s="253"/>
      <c r="S101" s="53"/>
      <c r="T101" s="53"/>
      <c r="U101" s="80"/>
      <c r="V101" s="80"/>
      <c r="W101" s="80"/>
    </row>
    <row r="102" spans="1:31" x14ac:dyDescent="0.2">
      <c r="A102" s="181"/>
      <c r="B102" s="182"/>
      <c r="C102" s="187" t="s">
        <v>478</v>
      </c>
      <c r="D102" s="187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91">
        <f ca="1">IF(R$102,R102/R$102%,"")</f>
        <v>100</v>
      </c>
      <c r="Q102" s="182"/>
      <c r="R102" s="249">
        <f ca="1">ROUND(R95*(1+$K$101),2)</f>
        <v>5559.01</v>
      </c>
      <c r="S102" s="53">
        <f>SUM(R24:R87)</f>
        <v>5100.0099999999993</v>
      </c>
      <c r="T102" s="53">
        <f>SUM(X96:AB100)</f>
        <v>974.12</v>
      </c>
      <c r="U102" s="80">
        <f ca="1">ROUND(S102*(1+$P$12)+T102+SUM(R20:R22)-(R112-R110-R111)/(1+$K$101)-(R110+R111)/(1+$P$12),2)</f>
        <v>0</v>
      </c>
      <c r="V102" s="80"/>
      <c r="W102" s="80"/>
    </row>
    <row r="103" spans="1:31" x14ac:dyDescent="0.2">
      <c r="A103" s="181"/>
      <c r="B103" s="182"/>
      <c r="C103" s="182" t="s">
        <v>479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91">
        <f ca="1">IF(SUM(P104:P109),SUM(P104:P109),"")</f>
        <v>22.100338009825492</v>
      </c>
      <c r="Q103" s="194"/>
      <c r="R103" s="254">
        <f ca="1">SUM(R104:R109)</f>
        <v>1228.56</v>
      </c>
      <c r="S103" s="53">
        <f ca="1">ROUND(R103-AC95*(1+K101)-R109,2)</f>
        <v>0</v>
      </c>
      <c r="T103" s="53"/>
      <c r="U103" s="80"/>
      <c r="V103" s="80"/>
      <c r="W103" s="80"/>
    </row>
    <row r="104" spans="1:31" ht="12.75" customHeight="1" x14ac:dyDescent="0.2">
      <c r="A104" s="181"/>
      <c r="B104" s="182" t="s">
        <v>435</v>
      </c>
      <c r="C104" s="183" t="s">
        <v>1233</v>
      </c>
      <c r="D104" s="182"/>
      <c r="E104" s="182"/>
      <c r="F104" s="182"/>
      <c r="G104" s="182"/>
      <c r="H104" s="182"/>
      <c r="I104" s="182"/>
      <c r="J104" s="182"/>
      <c r="K104" s="184"/>
      <c r="L104" s="184"/>
      <c r="M104" s="185"/>
      <c r="N104" s="182"/>
      <c r="O104" s="182"/>
      <c r="P104" s="191">
        <f t="shared" ref="P104:P109" ca="1" si="50">IF(R$102,R104/R$102%,"")</f>
        <v>1.4997274694594902</v>
      </c>
      <c r="Q104" s="182"/>
      <c r="R104" s="249">
        <f ca="1">ROUND(X95*(1+$K$101),2)</f>
        <v>83.37</v>
      </c>
      <c r="S104" s="53"/>
      <c r="T104" s="53"/>
      <c r="U104" s="80"/>
      <c r="V104" s="80"/>
      <c r="W104" s="80"/>
    </row>
    <row r="105" spans="1:31" ht="12.75" customHeight="1" x14ac:dyDescent="0.2">
      <c r="A105" s="181"/>
      <c r="B105" s="182" t="s">
        <v>435</v>
      </c>
      <c r="C105" s="203" t="str">
        <f>"временные здания и сооружения"&amp;IF(ISBLANK($C$12),""," (К=0,8)")</f>
        <v>временные здания и сооружения</v>
      </c>
      <c r="D105" s="182"/>
      <c r="E105" s="182"/>
      <c r="F105" s="182"/>
      <c r="G105" s="182"/>
      <c r="H105" s="182"/>
      <c r="I105" s="182"/>
      <c r="J105" s="182"/>
      <c r="K105" s="184"/>
      <c r="L105" s="184"/>
      <c r="M105" s="185"/>
      <c r="N105" s="182"/>
      <c r="O105" s="182"/>
      <c r="P105" s="191">
        <f t="shared" ca="1" si="50"/>
        <v>2.5002653350146882</v>
      </c>
      <c r="Q105" s="194"/>
      <c r="R105" s="254">
        <f ca="1">ROUND(Y95*(1+$K$101),2)</f>
        <v>138.99</v>
      </c>
      <c r="S105" s="53"/>
      <c r="T105" s="53"/>
      <c r="U105" s="80"/>
      <c r="V105" s="80"/>
      <c r="W105" s="80"/>
    </row>
    <row r="106" spans="1:31" ht="12.75" customHeight="1" x14ac:dyDescent="0.2">
      <c r="A106" s="181"/>
      <c r="B106" s="182" t="s">
        <v>435</v>
      </c>
      <c r="C106" s="203" t="s">
        <v>1333</v>
      </c>
      <c r="D106" s="182"/>
      <c r="E106" s="182"/>
      <c r="F106" s="182"/>
      <c r="G106" s="182"/>
      <c r="H106" s="182"/>
      <c r="I106" s="182"/>
      <c r="J106" s="182"/>
      <c r="K106" s="184"/>
      <c r="L106" s="184"/>
      <c r="M106" s="185"/>
      <c r="N106" s="182"/>
      <c r="O106" s="182"/>
      <c r="P106" s="191">
        <f t="shared" ca="1" si="50"/>
        <v>5.0001708937382734</v>
      </c>
      <c r="Q106" s="182"/>
      <c r="R106" s="249">
        <f ca="1">ROUND(Z95*(1+$K$101),2)</f>
        <v>277.95999999999998</v>
      </c>
      <c r="S106" s="53"/>
      <c r="T106" s="53"/>
      <c r="U106" s="80"/>
      <c r="V106" s="80"/>
      <c r="W106" s="80"/>
    </row>
    <row r="107" spans="1:31" ht="12.75" customHeight="1" x14ac:dyDescent="0.2">
      <c r="A107" s="181"/>
      <c r="B107" s="182" t="s">
        <v>435</v>
      </c>
      <c r="C107" s="364" t="s">
        <v>1234</v>
      </c>
      <c r="D107" s="182"/>
      <c r="E107" s="182"/>
      <c r="F107" s="182"/>
      <c r="G107" s="182"/>
      <c r="H107" s="182"/>
      <c r="I107" s="182"/>
      <c r="J107" s="182"/>
      <c r="K107" s="184"/>
      <c r="L107" s="184"/>
      <c r="M107" s="185"/>
      <c r="N107" s="182"/>
      <c r="O107" s="182"/>
      <c r="P107" s="191">
        <f t="shared" ca="1" si="50"/>
        <v>2.6001032557955464</v>
      </c>
      <c r="Q107" s="182"/>
      <c r="R107" s="249">
        <f ca="1">ROUND(AA95*(1+$K$101),2)</f>
        <v>144.54</v>
      </c>
      <c r="S107" s="53"/>
      <c r="T107" s="53"/>
      <c r="U107" s="80"/>
      <c r="V107" s="80"/>
      <c r="W107" s="80"/>
    </row>
    <row r="108" spans="1:31" ht="12.75" customHeight="1" x14ac:dyDescent="0.2">
      <c r="A108" s="181"/>
      <c r="B108" s="182" t="s">
        <v>435</v>
      </c>
      <c r="C108" s="203" t="s">
        <v>1031</v>
      </c>
      <c r="D108" s="182"/>
      <c r="E108" s="182"/>
      <c r="F108" s="182"/>
      <c r="G108" s="182"/>
      <c r="H108" s="182"/>
      <c r="I108" s="182"/>
      <c r="J108" s="182"/>
      <c r="K108" s="184"/>
      <c r="L108" s="184"/>
      <c r="M108" s="185"/>
      <c r="N108" s="182"/>
      <c r="O108" s="182"/>
      <c r="P108" s="191">
        <f t="shared" ca="1" si="50"/>
        <v>7.5000764524618591</v>
      </c>
      <c r="Q108" s="182"/>
      <c r="R108" s="249">
        <f ca="1">ROUND(AB95*(1+$K$101),2)</f>
        <v>416.93</v>
      </c>
      <c r="T108" s="53"/>
      <c r="U108" s="80"/>
      <c r="V108" s="80"/>
      <c r="W108" s="80"/>
    </row>
    <row r="109" spans="1:31" s="60" customFormat="1" ht="12.75" customHeight="1" x14ac:dyDescent="0.2">
      <c r="A109" s="181"/>
      <c r="B109" s="182" t="s">
        <v>435</v>
      </c>
      <c r="C109" s="203" t="s">
        <v>1034</v>
      </c>
      <c r="D109" s="182"/>
      <c r="E109" s="182"/>
      <c r="F109" s="182"/>
      <c r="G109" s="182"/>
      <c r="H109" s="182"/>
      <c r="I109" s="182"/>
      <c r="J109" s="182"/>
      <c r="K109" s="184"/>
      <c r="L109" s="184"/>
      <c r="M109" s="185"/>
      <c r="N109" s="182"/>
      <c r="O109" s="182"/>
      <c r="P109" s="191">
        <f t="shared" ca="1" si="50"/>
        <v>2.9999946033556335</v>
      </c>
      <c r="Q109" s="182"/>
      <c r="R109" s="249">
        <f ca="1">ROUND(R102*$P$12,2)</f>
        <v>166.77</v>
      </c>
      <c r="S109" s="212">
        <f ca="1">IF(R112-R109-R110-R111,R109/(R112-R109-R110-R111),0)</f>
        <v>2.5188798936684392E-2</v>
      </c>
      <c r="T109" s="53"/>
      <c r="U109" s="80"/>
      <c r="V109" s="80"/>
      <c r="W109" s="80"/>
      <c r="X109" s="89"/>
      <c r="Y109" s="89"/>
      <c r="Z109" s="89"/>
      <c r="AA109" s="89"/>
      <c r="AB109" s="89"/>
      <c r="AC109" s="137"/>
      <c r="AD109" s="89"/>
    </row>
    <row r="110" spans="1:31" s="60" customFormat="1" ht="12.75" hidden="1" customHeight="1" x14ac:dyDescent="0.25">
      <c r="A110" s="181"/>
      <c r="B110" s="182"/>
      <c r="C110" s="194" t="s">
        <v>1239</v>
      </c>
      <c r="D110" s="182"/>
      <c r="E110" s="182"/>
      <c r="F110" s="182"/>
      <c r="G110" s="182"/>
      <c r="H110" s="182"/>
      <c r="I110" s="182"/>
      <c r="J110" s="182"/>
      <c r="K110" s="184"/>
      <c r="L110" s="184"/>
      <c r="M110" s="185"/>
      <c r="N110" s="182"/>
      <c r="O110" s="182"/>
      <c r="P110" s="182"/>
      <c r="Q110" s="182"/>
      <c r="R110" s="249">
        <f>ROUND((N(R20)+N(R21))*(1+$P$12),2)</f>
        <v>0</v>
      </c>
      <c r="S110" s="53"/>
      <c r="T110" s="53"/>
      <c r="U110" s="80"/>
      <c r="V110" s="80"/>
      <c r="W110" s="80"/>
      <c r="X110" s="89"/>
      <c r="Y110" s="89"/>
      <c r="Z110" s="89"/>
      <c r="AA110" s="89"/>
      <c r="AB110" s="89"/>
      <c r="AC110" s="137"/>
      <c r="AD110" s="89"/>
      <c r="AE110" s="85"/>
    </row>
    <row r="111" spans="1:31" s="60" customFormat="1" ht="12.75" hidden="1" customHeight="1" x14ac:dyDescent="0.25">
      <c r="A111" s="181"/>
      <c r="B111" s="182"/>
      <c r="C111" s="194" t="s">
        <v>1343</v>
      </c>
      <c r="D111" s="182"/>
      <c r="E111" s="182"/>
      <c r="F111" s="182"/>
      <c r="G111" s="182"/>
      <c r="H111" s="182"/>
      <c r="I111" s="182"/>
      <c r="J111" s="182"/>
      <c r="K111" s="184"/>
      <c r="L111" s="184"/>
      <c r="M111" s="185"/>
      <c r="N111" s="182"/>
      <c r="O111" s="182"/>
      <c r="P111" s="182"/>
      <c r="Q111" s="182"/>
      <c r="R111" s="249">
        <f>ROUND(N(R22)*(1+$P$12),2)</f>
        <v>0</v>
      </c>
      <c r="S111" s="53"/>
      <c r="T111" s="53"/>
      <c r="U111" s="80"/>
      <c r="V111" s="80"/>
      <c r="W111" s="80"/>
      <c r="X111" s="89"/>
      <c r="Y111" s="89"/>
      <c r="Z111" s="89"/>
      <c r="AA111" s="89"/>
      <c r="AB111" s="89"/>
      <c r="AC111" s="137"/>
      <c r="AD111" s="89"/>
      <c r="AE111" s="85"/>
    </row>
    <row r="112" spans="1:31" x14ac:dyDescent="0.2">
      <c r="A112" s="181"/>
      <c r="B112" s="182"/>
      <c r="C112" s="186" t="s">
        <v>1266</v>
      </c>
      <c r="D112" s="186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255">
        <f ca="1">R102+R103+R110+R111</f>
        <v>6787.57</v>
      </c>
      <c r="S112" s="53">
        <f ca="1">ROUND(SUM(S96:W100)*(1+K101)+R102*$P$12+R110+R111-R112,2)</f>
        <v>0.01</v>
      </c>
      <c r="T112" s="53"/>
      <c r="U112" s="80"/>
      <c r="V112" s="80"/>
      <c r="W112" s="80"/>
    </row>
    <row r="113" spans="1:30" x14ac:dyDescent="0.2">
      <c r="C113" s="2" t="s">
        <v>470</v>
      </c>
      <c r="P113" s="124" t="s">
        <v>403</v>
      </c>
      <c r="R113" s="256"/>
      <c r="S113" s="53"/>
      <c r="T113" s="53"/>
      <c r="U113" s="80"/>
      <c r="V113" s="80"/>
      <c r="W113" s="80"/>
    </row>
    <row r="114" spans="1:30" x14ac:dyDescent="0.2">
      <c r="C114" s="60" t="s">
        <v>1344</v>
      </c>
      <c r="K114" s="18"/>
      <c r="N114" s="60"/>
      <c r="P114" s="191">
        <f ca="1">IF(SUM(P115:P119),SUM(P115:P119),"")</f>
        <v>80.000058931252283</v>
      </c>
      <c r="R114" s="249">
        <f ca="1">SUM(R115:R119)</f>
        <v>5430.06</v>
      </c>
      <c r="S114" s="53">
        <f ca="1">ROUND(R114-S95*(1+$K$101)*(1+$S$109),2)</f>
        <v>0</v>
      </c>
      <c r="T114" s="53"/>
      <c r="U114" s="80"/>
      <c r="V114" s="80"/>
      <c r="W114" s="80"/>
    </row>
    <row r="115" spans="1:30" ht="13.15" hidden="1" x14ac:dyDescent="0.25">
      <c r="C115" s="2" t="s">
        <v>988</v>
      </c>
      <c r="K115" s="18"/>
      <c r="N115" s="60"/>
      <c r="P115" s="192">
        <f t="shared" ref="P115:P126" ca="1" si="51">IF(R$112,R115/R$112%,"")</f>
        <v>0</v>
      </c>
      <c r="R115" s="249">
        <f ca="1">S115</f>
        <v>0</v>
      </c>
      <c r="S115" s="62">
        <f ca="1">ROUND(S96*(1+$K$101)*(1+$S$109),2)</f>
        <v>0</v>
      </c>
      <c r="T115" s="62">
        <f t="shared" ref="T115:W115" ca="1" si="52">ROUND(T96*(1+$K$101)*(1+$S$109),2)</f>
        <v>0</v>
      </c>
      <c r="U115" s="84">
        <f t="shared" ca="1" si="52"/>
        <v>0</v>
      </c>
      <c r="V115" s="84">
        <f t="shared" ca="1" si="52"/>
        <v>0</v>
      </c>
      <c r="W115" s="84">
        <f t="shared" ca="1" si="52"/>
        <v>0</v>
      </c>
    </row>
    <row r="116" spans="1:30" x14ac:dyDescent="0.2">
      <c r="C116" s="60" t="s">
        <v>1347</v>
      </c>
      <c r="K116" s="18"/>
      <c r="N116" s="60"/>
      <c r="P116" s="192">
        <f t="shared" ca="1" si="51"/>
        <v>80.000058931252283</v>
      </c>
      <c r="R116" s="249">
        <f t="shared" ref="R116:R119" ca="1" si="53">S116</f>
        <v>5430.06</v>
      </c>
      <c r="S116" s="62">
        <f t="shared" ref="S116:W116" ca="1" si="54">ROUND(S97*(1+$K$101)*(1+$S$109),2)</f>
        <v>5430.06</v>
      </c>
      <c r="T116" s="62">
        <f t="shared" ca="1" si="54"/>
        <v>249.81</v>
      </c>
      <c r="U116" s="84">
        <f t="shared" ca="1" si="54"/>
        <v>0</v>
      </c>
      <c r="V116" s="84">
        <f t="shared" ca="1" si="54"/>
        <v>477.85</v>
      </c>
      <c r="W116" s="84">
        <f t="shared" ca="1" si="54"/>
        <v>629.87</v>
      </c>
    </row>
    <row r="117" spans="1:30" ht="13.15" hidden="1" x14ac:dyDescent="0.25">
      <c r="C117" s="2" t="s">
        <v>989</v>
      </c>
      <c r="K117" s="18"/>
      <c r="N117" s="60"/>
      <c r="P117" s="192">
        <f t="shared" ca="1" si="51"/>
        <v>0</v>
      </c>
      <c r="R117" s="249">
        <f t="shared" ca="1" si="53"/>
        <v>0</v>
      </c>
      <c r="S117" s="62">
        <f t="shared" ref="S117:W117" ca="1" si="55">ROUND(S98*(1+$K$101)*(1+$S$109),2)</f>
        <v>0</v>
      </c>
      <c r="T117" s="62">
        <f t="shared" ca="1" si="55"/>
        <v>0</v>
      </c>
      <c r="U117" s="84">
        <f t="shared" ca="1" si="55"/>
        <v>0</v>
      </c>
      <c r="V117" s="84">
        <f t="shared" ca="1" si="55"/>
        <v>0</v>
      </c>
      <c r="W117" s="84">
        <f t="shared" ca="1" si="55"/>
        <v>0</v>
      </c>
    </row>
    <row r="118" spans="1:30" ht="13.15" hidden="1" x14ac:dyDescent="0.25">
      <c r="C118" s="2" t="s">
        <v>990</v>
      </c>
      <c r="K118" s="18"/>
      <c r="N118" s="60"/>
      <c r="P118" s="192">
        <f t="shared" ca="1" si="51"/>
        <v>0</v>
      </c>
      <c r="R118" s="249">
        <f t="shared" ca="1" si="53"/>
        <v>0</v>
      </c>
      <c r="S118" s="62">
        <f t="shared" ref="S118:W118" ca="1" si="56">ROUND(S99*(1+$K$101)*(1+$S$109),2)</f>
        <v>0</v>
      </c>
      <c r="T118" s="62">
        <f t="shared" ca="1" si="56"/>
        <v>0</v>
      </c>
      <c r="U118" s="84">
        <f t="shared" ca="1" si="56"/>
        <v>0</v>
      </c>
      <c r="V118" s="84">
        <f t="shared" ca="1" si="56"/>
        <v>0</v>
      </c>
      <c r="W118" s="84">
        <f t="shared" ca="1" si="56"/>
        <v>0</v>
      </c>
    </row>
    <row r="119" spans="1:30" ht="13.15" hidden="1" x14ac:dyDescent="0.25">
      <c r="C119" s="52" t="s">
        <v>1348</v>
      </c>
      <c r="K119" s="18"/>
      <c r="N119" s="60"/>
      <c r="P119" s="192">
        <f t="shared" ca="1" si="51"/>
        <v>0</v>
      </c>
      <c r="R119" s="249">
        <f t="shared" ca="1" si="53"/>
        <v>0</v>
      </c>
      <c r="S119" s="62">
        <f t="shared" ref="S119:W119" ca="1" si="57">ROUND(S100*(1+$K$101)*(1+$S$109),2)</f>
        <v>0</v>
      </c>
      <c r="T119" s="62">
        <f t="shared" ca="1" si="57"/>
        <v>0</v>
      </c>
      <c r="U119" s="84">
        <f t="shared" ca="1" si="57"/>
        <v>0</v>
      </c>
      <c r="V119" s="84">
        <f t="shared" ca="1" si="57"/>
        <v>0</v>
      </c>
      <c r="W119" s="84">
        <f t="shared" ca="1" si="57"/>
        <v>0</v>
      </c>
    </row>
    <row r="120" spans="1:30" x14ac:dyDescent="0.2">
      <c r="C120" s="2" t="s">
        <v>1045</v>
      </c>
      <c r="K120" s="18"/>
      <c r="N120" s="60"/>
      <c r="P120" s="191">
        <f t="shared" ca="1" si="51"/>
        <v>3.6804040326655936</v>
      </c>
      <c r="R120" s="249">
        <f ca="1">ROUND((T95-T100)*(1+$K$101)*(1+$S$109),2)</f>
        <v>249.81</v>
      </c>
      <c r="S120" s="53">
        <f ca="1">ROUND(R120-SUM(T115:T118),2)</f>
        <v>0</v>
      </c>
      <c r="T120" s="53"/>
      <c r="U120" s="80"/>
      <c r="V120" s="80"/>
      <c r="W120" s="80"/>
    </row>
    <row r="121" spans="1:30" s="60" customFormat="1" ht="13.15" hidden="1" x14ac:dyDescent="0.25">
      <c r="A121" s="126"/>
      <c r="C121" s="60" t="s">
        <v>1352</v>
      </c>
      <c r="K121" s="18"/>
      <c r="P121" s="191">
        <f t="shared" ref="P121" ca="1" si="58">IF(R$112,R121/R$112%,"")</f>
        <v>0</v>
      </c>
      <c r="R121" s="249">
        <f ca="1">ROUND(T100*(1+$K$101)*(1+$S$109),2)</f>
        <v>0</v>
      </c>
      <c r="S121" s="53">
        <f ca="1">ROUND(R121-T119,2)</f>
        <v>0</v>
      </c>
      <c r="T121" s="53"/>
      <c r="U121" s="80"/>
      <c r="V121" s="80"/>
      <c r="W121" s="80"/>
      <c r="X121" s="89"/>
      <c r="Y121" s="89"/>
      <c r="Z121" s="89"/>
      <c r="AA121" s="89"/>
      <c r="AB121" s="89"/>
      <c r="AC121" s="137"/>
      <c r="AD121" s="89"/>
    </row>
    <row r="122" spans="1:30" ht="13.15" hidden="1" x14ac:dyDescent="0.25">
      <c r="C122" s="60" t="s">
        <v>1046</v>
      </c>
      <c r="K122" s="18"/>
      <c r="N122" s="60"/>
      <c r="P122" s="191">
        <f t="shared" ca="1" si="51"/>
        <v>0</v>
      </c>
      <c r="R122" s="249">
        <f ca="1">ROUND((U95-U100)*(1+$K$101)*(1+$S$109),2)</f>
        <v>0</v>
      </c>
      <c r="S122" s="53">
        <f ca="1">ROUND(R122-SUM(U115:U118),2)</f>
        <v>0</v>
      </c>
      <c r="T122" s="53"/>
      <c r="U122" s="80"/>
      <c r="V122" s="80"/>
      <c r="W122" s="80"/>
    </row>
    <row r="123" spans="1:30" s="60" customFormat="1" ht="13.15" hidden="1" x14ac:dyDescent="0.25">
      <c r="A123" s="126"/>
      <c r="C123" s="60" t="s">
        <v>1349</v>
      </c>
      <c r="K123" s="18"/>
      <c r="P123" s="191">
        <f t="shared" ref="P123" ca="1" si="59">IF(R$112,R123/R$112%,"")</f>
        <v>0</v>
      </c>
      <c r="R123" s="249">
        <f ca="1">ROUND(U100*(1+$K$101)*(1+$S$109),2)</f>
        <v>0</v>
      </c>
      <c r="S123" s="53">
        <f ca="1">ROUND(R123-U119,2)</f>
        <v>0</v>
      </c>
      <c r="T123" s="53"/>
      <c r="U123" s="80"/>
      <c r="V123" s="80"/>
      <c r="W123" s="80"/>
      <c r="X123" s="89"/>
      <c r="Y123" s="89"/>
      <c r="Z123" s="89"/>
      <c r="AA123" s="89"/>
      <c r="AB123" s="89"/>
      <c r="AC123" s="137"/>
      <c r="AD123" s="89"/>
    </row>
    <row r="124" spans="1:30" x14ac:dyDescent="0.2">
      <c r="C124" s="60" t="s">
        <v>1099</v>
      </c>
      <c r="K124" s="18"/>
      <c r="P124" s="191">
        <f t="shared" ca="1" si="51"/>
        <v>7.0400747248278845</v>
      </c>
      <c r="R124" s="249">
        <f ca="1">ROUND((V95-V100)*(1+$K$101)*(1+$S$109),2)</f>
        <v>477.85</v>
      </c>
      <c r="S124" s="53">
        <f ca="1">ROUND(R124-SUM(V115:V118),2)</f>
        <v>0</v>
      </c>
      <c r="T124" s="53"/>
      <c r="U124" s="80"/>
      <c r="V124" s="80"/>
      <c r="W124" s="80"/>
    </row>
    <row r="125" spans="1:30" s="60" customFormat="1" ht="13.15" hidden="1" x14ac:dyDescent="0.25">
      <c r="A125" s="126"/>
      <c r="C125" s="52" t="s">
        <v>1350</v>
      </c>
      <c r="K125" s="18"/>
      <c r="P125" s="191">
        <f t="shared" ref="P125" ca="1" si="60">IF(R$112,R125/R$112%,"")</f>
        <v>0</v>
      </c>
      <c r="R125" s="249">
        <f ca="1">ROUND(V100*(1+$K$101)*(1+$S$109),2)</f>
        <v>0</v>
      </c>
      <c r="S125" s="53">
        <f ca="1">ROUND(R125-V119,2)</f>
        <v>0</v>
      </c>
      <c r="T125" s="53"/>
      <c r="U125" s="80"/>
      <c r="V125" s="80"/>
      <c r="W125" s="80"/>
      <c r="X125" s="89"/>
      <c r="Y125" s="89"/>
      <c r="Z125" s="89"/>
      <c r="AA125" s="89"/>
      <c r="AB125" s="89"/>
      <c r="AC125" s="137"/>
      <c r="AD125" s="89"/>
    </row>
    <row r="126" spans="1:30" x14ac:dyDescent="0.2">
      <c r="C126" s="52" t="s">
        <v>1337</v>
      </c>
      <c r="K126" s="18"/>
      <c r="N126" s="60"/>
      <c r="P126" s="191">
        <f t="shared" ca="1" si="51"/>
        <v>9.2797569675156204</v>
      </c>
      <c r="R126" s="249">
        <f ca="1">ROUND((W95-W100)*(1+$K$101)*(1+$S$109),2)+R110</f>
        <v>629.87</v>
      </c>
      <c r="S126" s="53">
        <f ca="1">ROUND(R126-SUM(W115:W118)-R110,2)</f>
        <v>0</v>
      </c>
      <c r="T126" s="53"/>
      <c r="U126" s="80"/>
      <c r="V126" s="80"/>
      <c r="W126" s="80"/>
    </row>
    <row r="127" spans="1:30" s="60" customFormat="1" x14ac:dyDescent="0.2">
      <c r="A127" s="126"/>
      <c r="C127" s="52" t="s">
        <v>1351</v>
      </c>
      <c r="K127" s="18"/>
      <c r="P127" s="191">
        <f t="shared" ref="P127" ca="1" si="61">IF(R$112,R127/R$112%,"")</f>
        <v>-2.9465626139172122E-4</v>
      </c>
      <c r="R127" s="249">
        <f ca="1">R112-SUM(R114,R120:R126)</f>
        <v>-2.0000000001346052E-2</v>
      </c>
      <c r="S127" s="53">
        <f ca="1">ROUND(R127-W119-R111,2)</f>
        <v>-0.02</v>
      </c>
      <c r="T127" s="53"/>
      <c r="U127" s="80"/>
      <c r="V127" s="80"/>
      <c r="W127" s="80"/>
      <c r="X127" s="89"/>
      <c r="Y127" s="89"/>
      <c r="Z127" s="89"/>
      <c r="AA127" s="89"/>
      <c r="AB127" s="89"/>
      <c r="AC127" s="137"/>
      <c r="AD127" s="89"/>
    </row>
    <row r="128" spans="1:30" x14ac:dyDescent="0.2">
      <c r="K128" s="18"/>
      <c r="P128" s="193">
        <f ca="1">IF(ISNUMBER(SUM(P114,P120:P127)),SUM(P114,P120:P127),"")</f>
        <v>100</v>
      </c>
      <c r="R128" s="85"/>
    </row>
    <row r="129" spans="1:32" x14ac:dyDescent="0.2">
      <c r="K129" s="18"/>
    </row>
    <row r="130" spans="1:32" ht="12.75" customHeight="1" x14ac:dyDescent="0.2">
      <c r="A130" s="587" t="s">
        <v>325</v>
      </c>
      <c r="B130" s="591" t="s">
        <v>427</v>
      </c>
      <c r="C130" s="589" t="s">
        <v>324</v>
      </c>
      <c r="D130" s="587" t="s">
        <v>1104</v>
      </c>
      <c r="E130" s="600" t="s">
        <v>326</v>
      </c>
      <c r="F130" s="600"/>
      <c r="G130" s="600"/>
      <c r="H130" s="600"/>
      <c r="I130" s="600"/>
      <c r="J130" s="600" t="s">
        <v>328</v>
      </c>
      <c r="K130" s="600"/>
      <c r="L130" s="20"/>
      <c r="M130" s="20"/>
      <c r="N130" s="600" t="s">
        <v>410</v>
      </c>
      <c r="O130" s="600"/>
      <c r="P130" s="600"/>
      <c r="Q130" s="587" t="s">
        <v>406</v>
      </c>
      <c r="R130" s="591" t="s">
        <v>407</v>
      </c>
    </row>
    <row r="131" spans="1:32" ht="39" customHeight="1" x14ac:dyDescent="0.2">
      <c r="A131" s="588"/>
      <c r="B131" s="591"/>
      <c r="C131" s="589"/>
      <c r="D131" s="588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88"/>
      <c r="R131" s="591"/>
      <c r="S131" s="109"/>
      <c r="T131" s="109"/>
      <c r="U131" s="110"/>
      <c r="V131" s="110"/>
      <c r="W131" s="110"/>
      <c r="X131" s="111"/>
      <c r="Y131" s="111"/>
      <c r="AA131" s="111"/>
    </row>
    <row r="132" spans="1:32" x14ac:dyDescent="0.2">
      <c r="A132" s="114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49"/>
    </row>
    <row r="133" spans="1:32" x14ac:dyDescent="0.2">
      <c r="A133" s="114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49"/>
    </row>
    <row r="134" spans="1:32" s="60" customFormat="1" ht="13.9" hidden="1" x14ac:dyDescent="0.3">
      <c r="A134" s="114"/>
      <c r="B134" s="56"/>
      <c r="C134" s="15" t="s">
        <v>1260</v>
      </c>
      <c r="D134" s="15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10"/>
      <c r="R134" s="249">
        <v>0</v>
      </c>
      <c r="U134" s="79"/>
      <c r="V134" s="79"/>
      <c r="W134" s="79"/>
      <c r="X134" s="89"/>
      <c r="Y134" s="89"/>
      <c r="Z134" s="89"/>
      <c r="AA134" s="89"/>
      <c r="AB134" s="89"/>
      <c r="AC134" s="137"/>
      <c r="AD134" s="89"/>
    </row>
    <row r="135" spans="1:32" s="60" customFormat="1" ht="13.15" hidden="1" x14ac:dyDescent="0.25">
      <c r="A135" s="114" t="str">
        <f>IF(C135="","",1)</f>
        <v/>
      </c>
      <c r="B135" s="56"/>
      <c r="C135" s="48"/>
      <c r="D135" s="48"/>
      <c r="E135" s="56"/>
      <c r="F135" s="56"/>
      <c r="G135" s="56"/>
      <c r="H135" s="56"/>
      <c r="I135" s="56"/>
      <c r="J135" s="58" t="str">
        <f>IF($C135="","","га")</f>
        <v/>
      </c>
      <c r="K135" s="240"/>
      <c r="L135" s="56"/>
      <c r="M135" s="56" t="str">
        <f>IFERROR(VLOOKUP($C135,Таблица!$B$715:$F$718,5,FALSE),"")</f>
        <v/>
      </c>
      <c r="N135" s="58" t="str">
        <f>IF($C135="","","т.р./га")</f>
        <v/>
      </c>
      <c r="O135" s="56"/>
      <c r="P135" s="51"/>
      <c r="Q135" s="11" t="str">
        <f>IF($C135&lt;&gt;"","V","")</f>
        <v/>
      </c>
      <c r="R135" s="249">
        <f>IF(C135="",0,IFERROR(ROUND(K135*P135,2),0))</f>
        <v>0</v>
      </c>
      <c r="S135" s="62"/>
      <c r="T135" s="62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60" customFormat="1" ht="13.15" hidden="1" x14ac:dyDescent="0.25">
      <c r="A136" s="134" t="str">
        <f>IF(C136="","",MAX(A$135:A135)+1)</f>
        <v/>
      </c>
      <c r="B136" s="56"/>
      <c r="C136" s="48"/>
      <c r="D136" s="48"/>
      <c r="E136" s="56"/>
      <c r="F136" s="56"/>
      <c r="G136" s="56"/>
      <c r="H136" s="56"/>
      <c r="I136" s="56"/>
      <c r="J136" s="58" t="str">
        <f>IF($C136="","","га")</f>
        <v/>
      </c>
      <c r="K136" s="51"/>
      <c r="L136" s="56"/>
      <c r="M136" s="56" t="str">
        <f>IFERROR(VLOOKUP($C136,Таблица!$B$715:$F$718,5,FALSE),"")</f>
        <v/>
      </c>
      <c r="N136" s="58" t="str">
        <f>IF($C136="","","т.р./га")</f>
        <v/>
      </c>
      <c r="O136" s="56"/>
      <c r="P136" s="51"/>
      <c r="Q136" s="11" t="str">
        <f>IF($C136&lt;&gt;"","V","")</f>
        <v/>
      </c>
      <c r="R136" s="249">
        <f>IF(C136="",0,IFERROR(ROUND(K136*P136,2),0))</f>
        <v>0</v>
      </c>
      <c r="S136" s="62"/>
      <c r="T136" s="62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60" customFormat="1" ht="13.15" hidden="1" x14ac:dyDescent="0.25">
      <c r="A137" s="114"/>
      <c r="B137" s="56"/>
      <c r="C137" s="15" t="s">
        <v>651</v>
      </c>
      <c r="D137" s="1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249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ht="13.15" hidden="1" x14ac:dyDescent="0.25">
      <c r="A138" s="134" t="str">
        <f>IF(C138="","",MAX(A$135:A137)+1)</f>
        <v/>
      </c>
      <c r="B138" s="1" t="str">
        <f>IFERROR(VLOOKUP($C138,Таблица!$B$205:$E$339,2,FALSE),"")</f>
        <v/>
      </c>
      <c r="C138" s="31"/>
      <c r="D138" s="31"/>
      <c r="E138" s="32"/>
      <c r="F138" s="32"/>
      <c r="G138" s="1"/>
      <c r="H138" s="1"/>
      <c r="I138" s="1"/>
      <c r="J138" s="1" t="str">
        <f t="shared" ref="J138:J152" si="62">IF($C138="","","км")</f>
        <v/>
      </c>
      <c r="K138" s="42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>IF(E138="",1,E138)*IF(F138="",1,F138)*IF(G138="",1,G138)*IF(H138="",1,H138)*IF(I138="",1,I138)</f>
        <v>1</v>
      </c>
      <c r="P138" s="42"/>
      <c r="Q138" s="11" t="str">
        <f>IF(OR(AND(ISERROR(VLOOKUP($C138,Таблица!$B$205:$E$339,2,FALSE)),$C138&lt;&gt;""),P138&lt;&gt;""),"V","")</f>
        <v/>
      </c>
      <c r="R138" s="249">
        <f>IFERROR(ROUND(K138*IF(P138="",N138*O138,P138*O138),2),0)</f>
        <v>0</v>
      </c>
      <c r="S138" s="62">
        <f>ROUND(IFERROR(VLOOKUP($C138,Таблица!$B$205:$K$339,6,FALSE),82.5)/100*$AC138,2)</f>
        <v>0</v>
      </c>
      <c r="T138" s="62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39">
        <f>IFERROR(ROUND(R138*(1+$K$159),2)+SUM(X138:AB138),0)</f>
        <v>0</v>
      </c>
      <c r="AD138" s="205">
        <f>IFERROR(VLOOKUP($C138,Таблица!$B$205:$L$339,11,FALSE),0)</f>
        <v>0</v>
      </c>
      <c r="AE138" s="85"/>
      <c r="AF138" s="85"/>
    </row>
    <row r="139" spans="1:32" ht="13.15" hidden="1" x14ac:dyDescent="0.25">
      <c r="A139" s="134" t="str">
        <f>IF(C139="","",MAX(A$135:A138)+1)</f>
        <v/>
      </c>
      <c r="B139" s="1" t="str">
        <f>IFERROR(VLOOKUP($C139,Таблица!$B$205:$E$339,2,FALSE),"")</f>
        <v/>
      </c>
      <c r="C139" s="31"/>
      <c r="D139" s="31"/>
      <c r="E139" s="32"/>
      <c r="F139" s="32"/>
      <c r="G139" s="1"/>
      <c r="H139" s="1"/>
      <c r="I139" s="1" t="str">
        <f t="shared" ref="I139:I152" si="63">IF(AND(K139&lt;0.1,K139&gt;0),1.35,"")</f>
        <v/>
      </c>
      <c r="J139" s="1" t="str">
        <f t="shared" si="62"/>
        <v/>
      </c>
      <c r="K139" s="42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ref="O139" si="64">IF(E139="",1,E139)*IF(F139="",1,F139)*IF(G139="",1,G139)*IF(H139="",1,H139)*IF(I139="",1,I139)</f>
        <v>1</v>
      </c>
      <c r="P139" s="42"/>
      <c r="Q139" s="11" t="str">
        <f>IF(OR(AND(ISERROR(VLOOKUP($C139,Таблица!$B$205:$E$339,2,FALSE)),$C139&lt;&gt;""),P139&lt;&gt;""),"V","")</f>
        <v/>
      </c>
      <c r="R139" s="249">
        <f t="shared" ref="R139:R152" si="65">IFERROR(ROUND(K139*IF(P139="",N139*O139,P139*O139),2),0)</f>
        <v>0</v>
      </c>
      <c r="S139" s="62">
        <f>ROUND(IFERROR(VLOOKUP($C139,Таблица!$B$205:$K$339,6,FALSE),82.5)/100*$AC139,2)</f>
        <v>0</v>
      </c>
      <c r="T139" s="62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39">
        <f t="shared" ref="AC139:AC158" si="66">IFERROR(ROUND(R139*(1+$K$159),2)+SUM(X139:AB139),0)</f>
        <v>0</v>
      </c>
      <c r="AD139" s="205">
        <f>IFERROR(VLOOKUP($C139,Таблица!$B$205:$L$339,11,FALSE),0)</f>
        <v>0</v>
      </c>
      <c r="AE139" s="85"/>
      <c r="AF139" s="85"/>
    </row>
    <row r="140" spans="1:32" ht="13.15" hidden="1" x14ac:dyDescent="0.25">
      <c r="A140" s="134" t="str">
        <f>IF(C140="","",MAX(A$135:A139)+1)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si="63"/>
        <v/>
      </c>
      <c r="J140" s="1" t="str">
        <f t="shared" si="62"/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49">
        <f t="shared" si="65"/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39">
        <f t="shared" si="66"/>
        <v>0</v>
      </c>
      <c r="AD140" s="205">
        <f>IFERROR(VLOOKUP($C140,Таблица!$B$205:$L$339,11,FALSE),0)</f>
        <v>0</v>
      </c>
      <c r="AE140" s="85"/>
      <c r="AF140" s="85"/>
    </row>
    <row r="141" spans="1:32" s="60" customFormat="1" ht="13.15" hidden="1" x14ac:dyDescent="0.25">
      <c r="A141" s="134" t="str">
        <f>IF(C141="","",MAX(A134:A$135)+1)</f>
        <v/>
      </c>
      <c r="B141" s="56" t="str">
        <f>IFERROR(VLOOKUP($C141,Таблица!$B$205:$E$339,2,FALSE),"")</f>
        <v/>
      </c>
      <c r="C141" s="48"/>
      <c r="D141" s="48"/>
      <c r="E141" s="50"/>
      <c r="F141" s="50"/>
      <c r="G141" s="56"/>
      <c r="H141" s="56"/>
      <c r="I141" s="56" t="str">
        <f t="shared" ref="I141:I148" si="68">IF(AND(K141&lt;0.1,K141&gt;0),1.35,"")</f>
        <v/>
      </c>
      <c r="J141" s="56" t="str">
        <f t="shared" si="62"/>
        <v/>
      </c>
      <c r="K141" s="51"/>
      <c r="L141" s="56">
        <f>IFERROR(VLOOKUP($C141,Таблица!$B$205:$K$339,3,FALSE),0)</f>
        <v>0</v>
      </c>
      <c r="M141" s="56" t="str">
        <f>IFERROR(VLOOKUP($C141,Таблица!$B$205:$F$339,5,FALSE),"")</f>
        <v/>
      </c>
      <c r="N141" s="56" t="str">
        <f>IFERROR(VLOOKUP($C141,Таблица!$B$205:$E$339,4,FALSE),"")</f>
        <v/>
      </c>
      <c r="O141" s="56">
        <f t="shared" ref="O141:O148" si="69">IF(E141="",1,E141)*IF(F141="",1,F141)*IF(G141="",1,G141)*IF(H141="",1,H141)*IF(I141="",1,I141)</f>
        <v>1</v>
      </c>
      <c r="P141" s="51"/>
      <c r="Q141" s="11" t="str">
        <f>IF(OR(AND(ISERROR(VLOOKUP($C141,Таблица!$B$205:$E$339,2,FALSE)),$C141&lt;&gt;""),P141&lt;&gt;""),"V","")</f>
        <v/>
      </c>
      <c r="R141" s="249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39">
        <f t="shared" ref="AC141:AC148" si="70">IFERROR(ROUND(R141*(1+$K$159),2)+SUM(X141:AB141),0)</f>
        <v>0</v>
      </c>
      <c r="AD141" s="205">
        <f>IFERROR(VLOOKUP($C141,Таблица!$B$205:$L$339,11,FALSE),0)</f>
        <v>0</v>
      </c>
      <c r="AE141" s="85"/>
      <c r="AF141" s="85"/>
    </row>
    <row r="142" spans="1:32" s="60" customFormat="1" ht="13.15" hidden="1" x14ac:dyDescent="0.25">
      <c r="A142" s="134" t="str">
        <f>IF(C142="","",MAX(A$135:A135)+1)</f>
        <v/>
      </c>
      <c r="B142" s="56" t="str">
        <f>IFERROR(VLOOKUP($C142,Таблица!$B$205:$E$339,2,FALSE),"")</f>
        <v/>
      </c>
      <c r="C142" s="48"/>
      <c r="D142" s="48"/>
      <c r="E142" s="50"/>
      <c r="F142" s="50"/>
      <c r="G142" s="56"/>
      <c r="H142" s="56"/>
      <c r="I142" s="56" t="str">
        <f t="shared" si="68"/>
        <v/>
      </c>
      <c r="J142" s="56" t="str">
        <f t="shared" si="62"/>
        <v/>
      </c>
      <c r="K142" s="51"/>
      <c r="L142" s="56">
        <f>IFERROR(VLOOKUP($C142,Таблица!$B$205:$K$339,3,FALSE),0)</f>
        <v>0</v>
      </c>
      <c r="M142" s="56" t="str">
        <f>IFERROR(VLOOKUP($C142,Таблица!$B$205:$F$339,5,FALSE),"")</f>
        <v/>
      </c>
      <c r="N142" s="56" t="str">
        <f>IFERROR(VLOOKUP($C142,Таблица!$B$205:$E$339,4,FALSE),"")</f>
        <v/>
      </c>
      <c r="O142" s="56">
        <f t="shared" si="69"/>
        <v>1</v>
      </c>
      <c r="P142" s="51"/>
      <c r="Q142" s="11" t="str">
        <f>IF(OR(AND(ISERROR(VLOOKUP($C142,Таблица!$B$205:$E$339,2,FALSE)),$C142&lt;&gt;""),P142&lt;&gt;""),"V","")</f>
        <v/>
      </c>
      <c r="R142" s="249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39">
        <f t="shared" si="70"/>
        <v>0</v>
      </c>
      <c r="AD142" s="205">
        <f>IFERROR(VLOOKUP($C142,Таблица!$B$205:$L$339,11,FALSE),0)</f>
        <v>0</v>
      </c>
      <c r="AE142" s="85"/>
      <c r="AF142" s="85"/>
    </row>
    <row r="143" spans="1:32" s="60" customFormat="1" ht="13.15" hidden="1" x14ac:dyDescent="0.25">
      <c r="A143" s="134" t="str">
        <f>IF(C143="","",MAX(A$135:A135)+1)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si="68"/>
        <v/>
      </c>
      <c r="J143" s="56" t="str">
        <f t="shared" si="62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si="69"/>
        <v>1</v>
      </c>
      <c r="P143" s="51"/>
      <c r="Q143" s="11" t="str">
        <f>IF(OR(AND(ISERROR(VLOOKUP($C143,Таблица!$B$205:$E$339,2,FALSE)),$C143&lt;&gt;""),P143&lt;&gt;""),"V","")</f>
        <v/>
      </c>
      <c r="R143" s="249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39">
        <f t="shared" si="70"/>
        <v>0</v>
      </c>
      <c r="AD143" s="205">
        <f>IFERROR(VLOOKUP($C143,Таблица!$B$205:$L$339,11,FALSE),0)</f>
        <v>0</v>
      </c>
      <c r="AE143" s="85"/>
      <c r="AF143" s="85"/>
    </row>
    <row r="144" spans="1:32" s="60" customFormat="1" ht="13.15" hidden="1" x14ac:dyDescent="0.25">
      <c r="A144" s="134" t="str">
        <f>IF(C144="","",MAX(A$135:A135)+1)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2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49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39">
        <f t="shared" si="70"/>
        <v>0</v>
      </c>
      <c r="AD144" s="205">
        <f>IFERROR(VLOOKUP($C144,Таблица!$B$205:$L$339,11,FALSE),0)</f>
        <v>0</v>
      </c>
      <c r="AE144" s="85"/>
      <c r="AF144" s="85"/>
    </row>
    <row r="145" spans="1:32" s="60" customFormat="1" ht="13.15" hidden="1" x14ac:dyDescent="0.25">
      <c r="A145" s="134" t="str">
        <f>IF(C145="","",MAX(A$135:A136)+1)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2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49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39">
        <f t="shared" si="70"/>
        <v>0</v>
      </c>
      <c r="AD145" s="205">
        <f>IFERROR(VLOOKUP($C145,Таблица!$B$205:$L$339,11,FALSE),0)</f>
        <v>0</v>
      </c>
      <c r="AE145" s="85"/>
      <c r="AF145" s="85"/>
    </row>
    <row r="146" spans="1:32" s="60" customFormat="1" ht="13.15" hidden="1" x14ac:dyDescent="0.25">
      <c r="A146" s="134" t="str">
        <f>IF(C146="","",MAX(A$135:A137)+1)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2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49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39">
        <f t="shared" si="70"/>
        <v>0</v>
      </c>
      <c r="AD146" s="205">
        <f>IFERROR(VLOOKUP($C146,Таблица!$B$205:$L$339,11,FALSE),0)</f>
        <v>0</v>
      </c>
      <c r="AE146" s="85"/>
      <c r="AF146" s="85"/>
    </row>
    <row r="147" spans="1:32" s="60" customFormat="1" ht="13.15" hidden="1" x14ac:dyDescent="0.25">
      <c r="A147" s="134" t="str">
        <f>IF(C147="","",MAX(A$135:A138)+1)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2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49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39">
        <f t="shared" si="70"/>
        <v>0</v>
      </c>
      <c r="AD147" s="205">
        <f>IFERROR(VLOOKUP($C147,Таблица!$B$205:$L$339,11,FALSE),0)</f>
        <v>0</v>
      </c>
      <c r="AE147" s="85"/>
      <c r="AF147" s="85"/>
    </row>
    <row r="148" spans="1:32" s="60" customFormat="1" ht="13.15" hidden="1" x14ac:dyDescent="0.25">
      <c r="A148" s="134" t="str">
        <f>IF(C148="","",MAX(A$135:A139)+1)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2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49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39">
        <f t="shared" si="70"/>
        <v>0</v>
      </c>
      <c r="AD148" s="205">
        <f>IFERROR(VLOOKUP($C148,Таблица!$B$205:$L$339,11,FALSE),0)</f>
        <v>0</v>
      </c>
      <c r="AE148" s="85"/>
      <c r="AF148" s="85"/>
    </row>
    <row r="149" spans="1:32" ht="13.15" hidden="1" x14ac:dyDescent="0.25">
      <c r="A149" s="134" t="str">
        <f>IF(C149="","",MAX(A$135:A140)+1)</f>
        <v/>
      </c>
      <c r="B149" s="1" t="str">
        <f>IFERROR(VLOOKUP($C149,Таблица!$B$205:$E$339,2,FALSE),"")</f>
        <v/>
      </c>
      <c r="C149" s="31"/>
      <c r="D149" s="31"/>
      <c r="E149" s="32"/>
      <c r="F149" s="32"/>
      <c r="G149" s="1"/>
      <c r="H149" s="1"/>
      <c r="I149" s="1" t="str">
        <f t="shared" si="63"/>
        <v/>
      </c>
      <c r="J149" s="1" t="str">
        <f t="shared" si="62"/>
        <v/>
      </c>
      <c r="K149" s="42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2"/>
      <c r="Q149" s="11" t="str">
        <f>IF(OR(AND(ISERROR(VLOOKUP($C149,Таблица!$B$205:$E$339,2,FALSE)),$C149&lt;&gt;""),P149&lt;&gt;""),"V","")</f>
        <v/>
      </c>
      <c r="R149" s="249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39">
        <f t="shared" si="66"/>
        <v>0</v>
      </c>
      <c r="AD149" s="205">
        <f>IFERROR(VLOOKUP($C149,Таблица!$B$205:$L$339,11,FALSE),0)</f>
        <v>0</v>
      </c>
      <c r="AE149" s="85"/>
      <c r="AF149" s="85"/>
    </row>
    <row r="150" spans="1:32" ht="13.15" hidden="1" x14ac:dyDescent="0.25">
      <c r="A150" s="134" t="str">
        <f>IF(C150="","",MAX(A$135:A149)+1)</f>
        <v/>
      </c>
      <c r="B150" s="1" t="str">
        <f>IFERROR(VLOOKUP($C150,Таблица!$B$205:$E$339,2,FALSE),"")</f>
        <v/>
      </c>
      <c r="C150" s="31"/>
      <c r="D150" s="31"/>
      <c r="E150" s="32"/>
      <c r="F150" s="32"/>
      <c r="G150" s="1"/>
      <c r="H150" s="1"/>
      <c r="I150" s="1" t="str">
        <f t="shared" si="63"/>
        <v/>
      </c>
      <c r="J150" s="1" t="str">
        <f t="shared" si="62"/>
        <v/>
      </c>
      <c r="K150" s="42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2"/>
      <c r="Q150" s="11" t="str">
        <f>IF(OR(AND(ISERROR(VLOOKUP($C150,Таблица!$B$205:$E$339,2,FALSE)),$C150&lt;&gt;""),P150&lt;&gt;""),"V","")</f>
        <v/>
      </c>
      <c r="R150" s="249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39">
        <f t="shared" si="66"/>
        <v>0</v>
      </c>
      <c r="AD150" s="205">
        <f>IFERROR(VLOOKUP($C150,Таблица!$B$205:$L$339,11,FALSE),0)</f>
        <v>0</v>
      </c>
      <c r="AE150" s="85"/>
      <c r="AF150" s="85"/>
    </row>
    <row r="151" spans="1:32" ht="13.15" hidden="1" x14ac:dyDescent="0.25">
      <c r="A151" s="134" t="str">
        <f>IF(C151="","",MAX(A$135:A150)+1)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3"/>
        <v/>
      </c>
      <c r="J151" s="1" t="str">
        <f t="shared" si="62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49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39">
        <f t="shared" si="66"/>
        <v>0</v>
      </c>
      <c r="AD151" s="205">
        <f>IFERROR(VLOOKUP($C151,Таблица!$B$205:$L$339,11,FALSE),0)</f>
        <v>0</v>
      </c>
      <c r="AE151" s="85"/>
      <c r="AF151" s="85"/>
    </row>
    <row r="152" spans="1:32" ht="13.15" hidden="1" x14ac:dyDescent="0.25">
      <c r="A152" s="134" t="str">
        <f>IF(C152="","",MAX(A$135:A151)+1)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3"/>
        <v/>
      </c>
      <c r="J152" s="1" t="str">
        <f t="shared" si="62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2"/>
      <c r="Q152" s="11" t="str">
        <f>IF(OR(AND(ISERROR(VLOOKUP($C152,Таблица!$B$205:$E$339,2,FALSE)),$C152&lt;&gt;""),P152&lt;&gt;""),"V","")</f>
        <v/>
      </c>
      <c r="R152" s="249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39">
        <f t="shared" si="66"/>
        <v>0</v>
      </c>
      <c r="AD152" s="205">
        <f>IFERROR(VLOOKUP($C152,Таблица!$B$205:$L$339,11,FALSE),0)</f>
        <v>0</v>
      </c>
      <c r="AE152" s="85"/>
      <c r="AF152" s="85"/>
    </row>
    <row r="153" spans="1:32" ht="13.15" hidden="1" x14ac:dyDescent="0.25">
      <c r="A153" s="134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49">
        <v>0</v>
      </c>
      <c r="S153" s="85"/>
      <c r="T153" s="85"/>
      <c r="U153" s="86"/>
      <c r="V153" s="86"/>
      <c r="W153" s="86"/>
      <c r="AC153" s="89"/>
      <c r="AD153" s="236">
        <f>IF(SUM(AC138:AC152),SUMIF(AD138:AD152,"=1",AC138:AC152)/SUM(AC138:AC152),1)</f>
        <v>1</v>
      </c>
      <c r="AE153" s="85"/>
      <c r="AF153" s="85"/>
    </row>
    <row r="154" spans="1:32" ht="13.15" hidden="1" x14ac:dyDescent="0.25">
      <c r="A154" s="134" t="str">
        <f>IF(C154="","",MAX(A$135:A153)+1)</f>
        <v/>
      </c>
      <c r="B154" s="1" t="str">
        <f>IFERROR(VLOOKUP($C154,Таблица!$B$344:$E$351,2,FALSE),"")</f>
        <v/>
      </c>
      <c r="C154" s="31"/>
      <c r="D154" s="31"/>
      <c r="E154" s="32"/>
      <c r="F154" s="32"/>
      <c r="G154" s="1"/>
      <c r="H154" s="1"/>
      <c r="I154" s="1"/>
      <c r="J154" s="1" t="str">
        <f>IF($C154="","","100 м")</f>
        <v/>
      </c>
      <c r="K154" s="42"/>
      <c r="L154" s="1">
        <f>IFERROR(VLOOKUP($C154,Таблица!$B$344:$K$351,3,FALSE),0)</f>
        <v>0</v>
      </c>
      <c r="M154" s="25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2"/>
      <c r="Q154" s="1" t="str">
        <f>IF(OR(AND(ISERROR(VLOOKUP($C154,Таблица!$B$344:$E$351,2,FALSE)),$C154&lt;&gt;""),P154&lt;&gt;""),"√","")</f>
        <v/>
      </c>
      <c r="R154" s="249">
        <f>IFERROR(ROUND(K154*IF(P154="",N154*O154,P154*O154),2),0)</f>
        <v>0</v>
      </c>
      <c r="S154" s="62">
        <f>ROUND(IFERROR(VLOOKUP($C154,Таблица!$B$344:$K$351,6,FALSE),82.5)/100*$AC154,2)</f>
        <v>0</v>
      </c>
      <c r="T154" s="62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39">
        <f t="shared" si="66"/>
        <v>0</v>
      </c>
      <c r="AD154" s="143"/>
      <c r="AE154" s="85"/>
      <c r="AF154" s="85"/>
    </row>
    <row r="155" spans="1:32" s="60" customFormat="1" ht="13.15" hidden="1" x14ac:dyDescent="0.25">
      <c r="A155" s="134" t="str">
        <f>IF(C155="","",MAX(A$135:A154)+1)</f>
        <v/>
      </c>
      <c r="B155" s="56" t="str">
        <f>IFERROR(VLOOKUP($C155,Таблица!$B$344:$E$351,2,FALSE),"")</f>
        <v/>
      </c>
      <c r="C155" s="48"/>
      <c r="D155" s="48"/>
      <c r="E155" s="50"/>
      <c r="F155" s="50"/>
      <c r="G155" s="56"/>
      <c r="H155" s="56"/>
      <c r="I155" s="56"/>
      <c r="J155" s="56" t="str">
        <f t="shared" ref="J155:J157" si="73">IF($C155="","","100 м")</f>
        <v/>
      </c>
      <c r="K155" s="51"/>
      <c r="L155" s="56">
        <f>IFERROR(VLOOKUP($C155,Таблица!$B$344:$K$351,3,FALSE),0)</f>
        <v>0</v>
      </c>
      <c r="M155" s="56" t="str">
        <f>IFERROR(VLOOKUP($C155,Таблица!$B$344:$F$351,5,FALSE),"")</f>
        <v/>
      </c>
      <c r="N155" s="56" t="str">
        <f>IFERROR(VLOOKUP($C155,Таблица!$B$344:$E$351,4,FALSE),"")</f>
        <v/>
      </c>
      <c r="O155" s="56">
        <f t="shared" ref="O155:O157" si="74">IF(E155="",1,E155)*IF(F155="",1,F155)*IF(G155="",1,G155)*IF(H155="",1,H155)*IF(I155="",1,I155)</f>
        <v>1</v>
      </c>
      <c r="P155" s="51"/>
      <c r="Q155" s="56" t="str">
        <f>IF(OR(AND(ISERROR(VLOOKUP($C155,Таблица!$B$344:$E$351,2,FALSE)),$C155&lt;&gt;""),P155&lt;&gt;""),"√","")</f>
        <v/>
      </c>
      <c r="R155" s="249">
        <f t="shared" ref="R155:R158" si="75">IFERROR(ROUND(K155*IF(P155="",N155*O155,P155*O155),2),0)</f>
        <v>0</v>
      </c>
      <c r="S155" s="62">
        <f>ROUND(IFERROR(VLOOKUP($C155,Таблица!$B$344:$K$351,6,FALSE),82.5)/100*$AC155,2)</f>
        <v>0</v>
      </c>
      <c r="T155" s="62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39">
        <f t="shared" ref="AC155:AC157" si="76">IFERROR(ROUND(R155*(1+$K$159),2)+SUM(X155:AB155),0)</f>
        <v>0</v>
      </c>
      <c r="AD155" s="89"/>
      <c r="AE155" s="85"/>
      <c r="AF155" s="85"/>
    </row>
    <row r="156" spans="1:32" s="60" customFormat="1" ht="13.15" hidden="1" x14ac:dyDescent="0.25">
      <c r="A156" s="134" t="str">
        <f>IF(C156="","",MAX(A$135:A155)+1)</f>
        <v/>
      </c>
      <c r="B156" s="56" t="str">
        <f>IFERROR(VLOOKUP($C156,Таблица!$B$344:$E$351,2,FALSE),"")</f>
        <v/>
      </c>
      <c r="C156" s="48"/>
      <c r="D156" s="48"/>
      <c r="E156" s="50"/>
      <c r="F156" s="50"/>
      <c r="G156" s="56"/>
      <c r="H156" s="56"/>
      <c r="I156" s="56"/>
      <c r="J156" s="56" t="str">
        <f t="shared" si="73"/>
        <v/>
      </c>
      <c r="K156" s="51"/>
      <c r="L156" s="56">
        <f>IFERROR(VLOOKUP($C156,Таблица!$B$344:$K$351,3,FALSE),0)</f>
        <v>0</v>
      </c>
      <c r="M156" s="56" t="str">
        <f>IFERROR(VLOOKUP($C156,Таблица!$B$344:$F$351,5,FALSE),"")</f>
        <v/>
      </c>
      <c r="N156" s="56" t="str">
        <f>IFERROR(VLOOKUP($C156,Таблица!$B$344:$E$351,4,FALSE),"")</f>
        <v/>
      </c>
      <c r="O156" s="56">
        <f t="shared" si="74"/>
        <v>1</v>
      </c>
      <c r="P156" s="51"/>
      <c r="Q156" s="56" t="str">
        <f>IF(OR(AND(ISERROR(VLOOKUP($C156,Таблица!$B$344:$E$351,2,FALSE)),$C156&lt;&gt;""),P156&lt;&gt;""),"√","")</f>
        <v/>
      </c>
      <c r="R156" s="249">
        <f t="shared" si="75"/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39">
        <f t="shared" si="76"/>
        <v>0</v>
      </c>
      <c r="AD156" s="89"/>
      <c r="AE156" s="85"/>
      <c r="AF156" s="85"/>
    </row>
    <row r="157" spans="1:32" s="60" customFormat="1" ht="13.15" hidden="1" x14ac:dyDescent="0.25">
      <c r="A157" s="134" t="str">
        <f>IF(C157="","",MAX(A$135:A156)+1)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si="73"/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si="74"/>
        <v>1</v>
      </c>
      <c r="P157" s="51"/>
      <c r="Q157" s="56" t="str">
        <f>IF(OR(AND(ISERROR(VLOOKUP($C157,Таблица!$B$344:$E$351,2,FALSE)),$C157&lt;&gt;""),P157&lt;&gt;""),"√","")</f>
        <v/>
      </c>
      <c r="R157" s="249">
        <f t="shared" si="75"/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39">
        <f t="shared" si="76"/>
        <v>0</v>
      </c>
      <c r="AD157" s="89"/>
      <c r="AE157" s="85"/>
      <c r="AF157" s="85"/>
    </row>
    <row r="158" spans="1:32" ht="13.15" hidden="1" x14ac:dyDescent="0.25">
      <c r="A158" s="134" t="str">
        <f>IF(C158="","",MAX(A$135:A157)+1)</f>
        <v/>
      </c>
      <c r="B158" s="1" t="str">
        <f>IFERROR(VLOOKUP($C158,Таблица!$B$344:$E$351,2,FALSE),"")</f>
        <v/>
      </c>
      <c r="C158" s="31"/>
      <c r="D158" s="31"/>
      <c r="E158" s="32"/>
      <c r="F158" s="32"/>
      <c r="G158" s="1"/>
      <c r="H158" s="1"/>
      <c r="I158" s="1"/>
      <c r="J158" s="1" t="str">
        <f>IF($C158="","","100 м")</f>
        <v/>
      </c>
      <c r="K158" s="42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2"/>
      <c r="Q158" s="1" t="str">
        <f>IF(OR(AND(ISERROR(VLOOKUP($C158,Таблица!$B$344:$E$351,2,FALSE)),$C158&lt;&gt;""),P158&lt;&gt;""),"√","")</f>
        <v/>
      </c>
      <c r="R158" s="249">
        <f t="shared" si="75"/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39">
        <f t="shared" si="66"/>
        <v>0</v>
      </c>
      <c r="AE158" s="85"/>
      <c r="AF158" s="85"/>
    </row>
    <row r="159" spans="1:32" ht="13.15" hidden="1" x14ac:dyDescent="0.25">
      <c r="A159" s="134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49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5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49"/>
      <c r="S160" s="91">
        <f>SUM(S138:S158)</f>
        <v>0</v>
      </c>
      <c r="T160" s="91">
        <f t="shared" ref="T160:AB160" si="77">SUM(T138:T158)</f>
        <v>0</v>
      </c>
      <c r="U160" s="92">
        <f t="shared" si="77"/>
        <v>0</v>
      </c>
      <c r="V160" s="92">
        <f t="shared" si="77"/>
        <v>0</v>
      </c>
      <c r="W160" s="92">
        <f t="shared" si="77"/>
        <v>0</v>
      </c>
      <c r="X160" s="99">
        <f t="shared" si="77"/>
        <v>0</v>
      </c>
      <c r="Y160" s="99">
        <f t="shared" si="77"/>
        <v>0</v>
      </c>
      <c r="Z160" s="99">
        <f t="shared" si="77"/>
        <v>0</v>
      </c>
      <c r="AA160" s="99">
        <f t="shared" si="77"/>
        <v>0</v>
      </c>
      <c r="AB160" s="99">
        <f t="shared" si="77"/>
        <v>0</v>
      </c>
      <c r="AC160" s="89"/>
      <c r="AE160" s="85"/>
      <c r="AF160" s="85"/>
    </row>
    <row r="161" spans="1:34" ht="13.15" hidden="1" x14ac:dyDescent="0.25">
      <c r="A161" s="114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49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ht="13.15" hidden="1" x14ac:dyDescent="0.25">
      <c r="A162" s="134" t="str">
        <f>IF(C162="","",MAX(A$135:A161)+1)</f>
        <v/>
      </c>
      <c r="B162" s="1" t="str">
        <f>IFERROR(VLOOKUP($C162,Таблица!$B$361:$E$363,2,FALSE),"")</f>
        <v/>
      </c>
      <c r="C162" s="31"/>
      <c r="D162" s="31"/>
      <c r="E162" s="32"/>
      <c r="F162" s="32"/>
      <c r="G162" s="1"/>
      <c r="H162" s="1"/>
      <c r="I162" s="1"/>
      <c r="J162" s="1" t="str">
        <f>IF($C162="","","км")</f>
        <v/>
      </c>
      <c r="K162" s="42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1"/>
      <c r="Q162" s="1" t="str">
        <f>IF(OR(AND(ISERROR(VLOOKUP($C162,Таблица!$B$361:$E$363,2,FALSE)),$C162&lt;&gt;""),P162&lt;&gt;""),"√","")</f>
        <v/>
      </c>
      <c r="R162" s="249">
        <f>IFERROR(ROUND(K162*IF(P162="",N162*O162,P162*O162),2),0)</f>
        <v>0</v>
      </c>
      <c r="S162" s="62">
        <f>ROUND(IFERROR(VLOOKUP($C162,Таблица!$B$361:$K$363,6,FALSE),82.5)/100*$AC162,2)</f>
        <v>0</v>
      </c>
      <c r="T162" s="62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39">
        <f>IFERROR(R162+SUM(X162:AB162),0)</f>
        <v>0</v>
      </c>
      <c r="AE162" s="85"/>
      <c r="AF162" s="85"/>
    </row>
    <row r="163" spans="1:34" s="60" customFormat="1" ht="13.15" hidden="1" x14ac:dyDescent="0.25">
      <c r="A163" s="134" t="str">
        <f>IF(C163="","",MAX(A$135:A162)+1)</f>
        <v/>
      </c>
      <c r="B163" s="56" t="str">
        <f>IFERROR(VLOOKUP($C163,Таблица!$B$361:$E$363,2,FALSE),"")</f>
        <v/>
      </c>
      <c r="C163" s="48"/>
      <c r="D163" s="48"/>
      <c r="E163" s="50"/>
      <c r="F163" s="50"/>
      <c r="G163" s="56"/>
      <c r="H163" s="56"/>
      <c r="I163" s="56"/>
      <c r="J163" s="56" t="str">
        <f t="shared" ref="J163:J165" si="78">IF($C163="","","км")</f>
        <v/>
      </c>
      <c r="K163" s="51"/>
      <c r="L163" s="56">
        <f>IFERROR(VLOOKUP($C163,Таблица!$B$361:$K$363,3,FALSE),0)</f>
        <v>0</v>
      </c>
      <c r="M163" s="56" t="str">
        <f>IFERROR(VLOOKUP($C163,Таблица!$B$361:$F$363,5,FALSE),"")</f>
        <v/>
      </c>
      <c r="N163" s="56" t="str">
        <f>IFERROR(VLOOKUP($C163,Таблица!$B$361:$E$363,4,FALSE),"")</f>
        <v/>
      </c>
      <c r="O163" s="56">
        <f t="shared" ref="O163:O165" si="79">IF(E163="",1,E163)*IF(F163="",1,F163)*IF(G163="",1,G163)*IF(H163="",1,H163)*IF(I163="",1,I163)</f>
        <v>1</v>
      </c>
      <c r="P163" s="51"/>
      <c r="Q163" s="56" t="str">
        <f>IF(OR(AND(ISERROR(VLOOKUP($C163,Таблица!$B$361:$E$363,2,FALSE)),$C163&lt;&gt;""),P163&lt;&gt;""),"√","")</f>
        <v/>
      </c>
      <c r="R163" s="249">
        <f t="shared" ref="R163:R166" si="80">IFERROR(ROUND(K163*IF(P163="",N163*O163,P163*O163),2),0)</f>
        <v>0</v>
      </c>
      <c r="S163" s="62">
        <f>ROUND(IFERROR(VLOOKUP($C163,Таблица!$B$361:$K$363,6,FALSE),82.5)/100*$AC163,2)</f>
        <v>0</v>
      </c>
      <c r="T163" s="62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39">
        <f t="shared" ref="AC163:AC165" si="81">IFERROR(R163+SUM(X163:AB163),0)</f>
        <v>0</v>
      </c>
      <c r="AD163" s="89"/>
      <c r="AE163" s="85"/>
      <c r="AF163" s="85"/>
    </row>
    <row r="164" spans="1:34" s="60" customFormat="1" ht="13.15" hidden="1" x14ac:dyDescent="0.25">
      <c r="A164" s="134" t="str">
        <f>IF(C164="","",MAX(A$135:A163)+1)</f>
        <v/>
      </c>
      <c r="B164" s="56" t="str">
        <f>IFERROR(VLOOKUP($C164,Таблица!$B$361:$E$363,2,FALSE),"")</f>
        <v/>
      </c>
      <c r="C164" s="48"/>
      <c r="D164" s="48"/>
      <c r="E164" s="50"/>
      <c r="F164" s="50"/>
      <c r="G164" s="56"/>
      <c r="H164" s="56"/>
      <c r="I164" s="56"/>
      <c r="J164" s="56" t="str">
        <f t="shared" si="78"/>
        <v/>
      </c>
      <c r="K164" s="51"/>
      <c r="L164" s="56">
        <f>IFERROR(VLOOKUP($C164,Таблица!$B$361:$K$363,3,FALSE),0)</f>
        <v>0</v>
      </c>
      <c r="M164" s="56" t="str">
        <f>IFERROR(VLOOKUP($C164,Таблица!$B$361:$F$363,5,FALSE),"")</f>
        <v/>
      </c>
      <c r="N164" s="56" t="str">
        <f>IFERROR(VLOOKUP($C164,Таблица!$B$361:$E$363,4,FALSE),"")</f>
        <v/>
      </c>
      <c r="O164" s="56">
        <f t="shared" si="79"/>
        <v>1</v>
      </c>
      <c r="P164" s="51"/>
      <c r="Q164" s="56" t="str">
        <f>IF(OR(AND(ISERROR(VLOOKUP($C164,Таблица!$B$361:$E$363,2,FALSE)),$C164&lt;&gt;""),P164&lt;&gt;""),"√","")</f>
        <v/>
      </c>
      <c r="R164" s="249">
        <f t="shared" si="80"/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39">
        <f t="shared" si="81"/>
        <v>0</v>
      </c>
      <c r="AD164" s="89"/>
      <c r="AE164" s="85"/>
      <c r="AF164" s="85"/>
    </row>
    <row r="165" spans="1:34" s="60" customFormat="1" ht="13.15" hidden="1" x14ac:dyDescent="0.25">
      <c r="A165" s="134" t="str">
        <f>IF(C165="","",MAX(A$135:A164)+1)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si="78"/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si="79"/>
        <v>1</v>
      </c>
      <c r="P165" s="51"/>
      <c r="Q165" s="56" t="str">
        <f>IF(OR(AND(ISERROR(VLOOKUP($C165,Таблица!$B$361:$E$363,2,FALSE)),$C165&lt;&gt;""),P165&lt;&gt;""),"√","")</f>
        <v/>
      </c>
      <c r="R165" s="249">
        <f t="shared" si="80"/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39">
        <f t="shared" si="81"/>
        <v>0</v>
      </c>
      <c r="AD165" s="89"/>
      <c r="AE165" s="85"/>
      <c r="AF165" s="85"/>
    </row>
    <row r="166" spans="1:34" ht="13.15" hidden="1" x14ac:dyDescent="0.25">
      <c r="A166" s="134" t="str">
        <f>IF(C166="","",MAX(A$135:A165)+1)</f>
        <v/>
      </c>
      <c r="B166" s="1" t="str">
        <f>IFERROR(VLOOKUP($C166,Таблица!$B$361:$E$363,2,FALSE),"")</f>
        <v/>
      </c>
      <c r="C166" s="31"/>
      <c r="D166" s="31"/>
      <c r="E166" s="32"/>
      <c r="F166" s="32"/>
      <c r="G166" s="1"/>
      <c r="H166" s="1"/>
      <c r="I166" s="1"/>
      <c r="J166" s="1" t="str">
        <f>IF($C166="","","км")</f>
        <v/>
      </c>
      <c r="K166" s="42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1"/>
      <c r="Q166" s="1" t="str">
        <f>IF(OR(AND(ISERROR(VLOOKUP($C166,Таблица!$B$361:$E$363,2,FALSE)),$C166&lt;&gt;""),P166&lt;&gt;""),"√","")</f>
        <v/>
      </c>
      <c r="R166" s="249">
        <f t="shared" si="80"/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39">
        <f>IFERROR(R166+SUM(X166:AB166),0)</f>
        <v>0</v>
      </c>
      <c r="AE166" s="85"/>
      <c r="AF166" s="85"/>
    </row>
    <row r="167" spans="1:34" ht="13.15" hidden="1" x14ac:dyDescent="0.25">
      <c r="A167" s="134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49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ht="13.15" hidden="1" x14ac:dyDescent="0.25">
      <c r="A168" s="134" t="str">
        <f>IF(C168="","",MAX(A$135:A167)+1)</f>
        <v/>
      </c>
      <c r="B168" s="1" t="str">
        <f>IFERROR(VLOOKUP($C168,Таблица!$B$354:$E$358,2,FALSE),"")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IF($C168="","","100 м2")</f>
        <v/>
      </c>
      <c r="K168" s="42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2">IF(E168="",1,E168)*IF(F168="",1,F168)*IF(G168="",1,G168)*IF(H168="",1,H168)*IF(I168="",1,I168)</f>
        <v>1</v>
      </c>
      <c r="P168" s="42"/>
      <c r="Q168" s="1" t="str">
        <f>IF(OR(AND(ISERROR(VLOOKUP($C168,Таблица!$B$354:$E$358,2,FALSE)),$C168&lt;&gt;""),P168&lt;&gt;""),"√","")</f>
        <v/>
      </c>
      <c r="R168" s="249">
        <f>IFERROR(ROUND(K168*IF(P168="",N168*O168,P168*O168),2),0)</f>
        <v>0</v>
      </c>
      <c r="S168" s="62">
        <f>ROUND(IFERROR(VLOOKUP($C168,Таблица!$B$354:$K$358,6,FALSE),93)/100*$AC168,2)</f>
        <v>0</v>
      </c>
      <c r="T168" s="62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39">
        <f t="shared" ref="AC168:AC172" si="83">IFERROR(R168+SUM(X168:AB168),0)</f>
        <v>0</v>
      </c>
      <c r="AE168" s="85"/>
      <c r="AF168" s="85"/>
    </row>
    <row r="169" spans="1:34" s="46" customFormat="1" ht="13.15" hidden="1" x14ac:dyDescent="0.25">
      <c r="A169" s="134" t="str">
        <f>IF(C169="","",MAX(A$135:A168)+1)</f>
        <v/>
      </c>
      <c r="B169" s="56" t="str">
        <f>IFERROR(VLOOKUP($C169,Таблица!$B$354:$E$358,2,FALSE),"")</f>
        <v/>
      </c>
      <c r="C169" s="48"/>
      <c r="D169" s="48"/>
      <c r="E169" s="50"/>
      <c r="F169" s="50"/>
      <c r="G169" s="45"/>
      <c r="H169" s="45"/>
      <c r="I169" s="45"/>
      <c r="J169" s="56" t="str">
        <f t="shared" ref="J169:J172" si="84">IF($C169="","","100 м2")</f>
        <v/>
      </c>
      <c r="K169" s="51"/>
      <c r="L169" s="56">
        <f>IFERROR(VLOOKUP($C169,Таблица!$B$354:$K$358,3,FALSE),0)</f>
        <v>0</v>
      </c>
      <c r="M169" s="56" t="str">
        <f>IFERROR(VLOOKUP($C169,Таблица!$B$354:$F$358,5,FALSE),"")</f>
        <v/>
      </c>
      <c r="N169" s="56" t="str">
        <f>IFERROR(VLOOKUP($C169,Таблица!$B$354:$E$358,4,FALSE),"")</f>
        <v/>
      </c>
      <c r="O169" s="56">
        <f t="shared" si="82"/>
        <v>1</v>
      </c>
      <c r="P169" s="51"/>
      <c r="Q169" s="56" t="str">
        <f>IF(OR(AND(ISERROR(VLOOKUP($C169,Таблица!$B$354:$E$358,2,FALSE)),$C169&lt;&gt;""),P169&lt;&gt;""),"√","")</f>
        <v/>
      </c>
      <c r="R169" s="249">
        <f t="shared" ref="R169:R172" si="85">IFERROR(ROUND(K169*IF(P169="",N169*O169,P169*O169),2),0)</f>
        <v>0</v>
      </c>
      <c r="S169" s="62">
        <f>ROUND(IFERROR(VLOOKUP($C169,Таблица!$B$354:$K$358,6,FALSE),93)/100*$AC169,2)</f>
        <v>0</v>
      </c>
      <c r="T169" s="62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39">
        <f t="shared" si="83"/>
        <v>0</v>
      </c>
      <c r="AD169" s="89"/>
      <c r="AE169" s="85"/>
      <c r="AF169" s="85"/>
      <c r="AG169" s="60"/>
      <c r="AH169" s="60"/>
    </row>
    <row r="170" spans="1:34" s="46" customFormat="1" ht="13.15" hidden="1" x14ac:dyDescent="0.25">
      <c r="A170" s="134" t="str">
        <f>IF(C170="","",MAX(A$135:A169)+1)</f>
        <v/>
      </c>
      <c r="B170" s="56" t="str">
        <f>IFERROR(VLOOKUP($C170,Таблица!$B$354:$E$358,2,FALSE),"")</f>
        <v/>
      </c>
      <c r="C170" s="48"/>
      <c r="D170" s="48"/>
      <c r="E170" s="50"/>
      <c r="F170" s="50"/>
      <c r="G170" s="45"/>
      <c r="H170" s="45"/>
      <c r="I170" s="45"/>
      <c r="J170" s="56" t="str">
        <f t="shared" si="84"/>
        <v/>
      </c>
      <c r="K170" s="51"/>
      <c r="L170" s="56">
        <f>IFERROR(VLOOKUP($C170,Таблица!$B$354:$K$358,3,FALSE),0)</f>
        <v>0</v>
      </c>
      <c r="M170" s="56" t="str">
        <f>IFERROR(VLOOKUP($C170,Таблица!$B$354:$F$358,5,FALSE),"")</f>
        <v/>
      </c>
      <c r="N170" s="56" t="str">
        <f>IFERROR(VLOOKUP($C170,Таблица!$B$354:$E$358,4,FALSE),"")</f>
        <v/>
      </c>
      <c r="O170" s="56">
        <f t="shared" si="82"/>
        <v>1</v>
      </c>
      <c r="P170" s="51"/>
      <c r="Q170" s="56" t="str">
        <f>IF(OR(AND(ISERROR(VLOOKUP($C170,Таблица!$B$354:$E$358,2,FALSE)),$C170&lt;&gt;""),P170&lt;&gt;""),"√","")</f>
        <v/>
      </c>
      <c r="R170" s="249">
        <f t="shared" si="85"/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39">
        <f t="shared" si="83"/>
        <v>0</v>
      </c>
      <c r="AD170" s="89"/>
      <c r="AE170" s="85"/>
      <c r="AF170" s="85"/>
      <c r="AG170" s="60"/>
      <c r="AH170" s="60"/>
    </row>
    <row r="171" spans="1:34" s="46" customFormat="1" ht="13.15" hidden="1" x14ac:dyDescent="0.25">
      <c r="A171" s="134" t="str">
        <f>IF(C171="","",MAX(A$135:A170)+1)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si="84"/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2"/>
        <v>1</v>
      </c>
      <c r="P171" s="51"/>
      <c r="Q171" s="56" t="str">
        <f>IF(OR(AND(ISERROR(VLOOKUP($C171,Таблица!$B$354:$E$358,2,FALSE)),$C171&lt;&gt;""),P171&lt;&gt;""),"√","")</f>
        <v/>
      </c>
      <c r="R171" s="249">
        <f t="shared" si="85"/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39">
        <f t="shared" si="83"/>
        <v>0</v>
      </c>
      <c r="AD171" s="89"/>
      <c r="AE171" s="85"/>
      <c r="AF171" s="85"/>
      <c r="AG171" s="60"/>
      <c r="AH171" s="60"/>
    </row>
    <row r="172" spans="1:34" ht="13.15" hidden="1" x14ac:dyDescent="0.25">
      <c r="A172" s="134" t="str">
        <f>IF(C172="","",MAX(A$135:A171)+1)</f>
        <v/>
      </c>
      <c r="B172" s="56" t="str">
        <f>IFERROR(VLOOKUP($C172,Таблица!$B$354:$E$358,2,FALSE),"")</f>
        <v/>
      </c>
      <c r="C172" s="31"/>
      <c r="D172" s="31"/>
      <c r="E172" s="32"/>
      <c r="F172" s="32"/>
      <c r="G172" s="1"/>
      <c r="H172" s="1"/>
      <c r="I172" s="1"/>
      <c r="J172" s="56" t="str">
        <f t="shared" si="84"/>
        <v/>
      </c>
      <c r="K172" s="42"/>
      <c r="L172" s="1">
        <f>IFERROR(VLOOKUP($C172,Таблица!$B$354:$K$358,3,FALSE),0)</f>
        <v>0</v>
      </c>
      <c r="M172" s="56" t="str">
        <f>IFERROR(VLOOKUP($C172,Таблица!$B$354:$F$358,5,FALSE),"")</f>
        <v/>
      </c>
      <c r="N172" s="1" t="str">
        <f>IFERROR(VLOOKUP($C172,Таблица!$B$354:$E$358,4,FALSE),"")</f>
        <v/>
      </c>
      <c r="O172" s="56">
        <f t="shared" si="82"/>
        <v>1</v>
      </c>
      <c r="P172" s="42"/>
      <c r="Q172" s="56" t="str">
        <f>IF(OR(AND(ISERROR(VLOOKUP($C172,Таблица!$B$354:$E$358,2,FALSE)),$C172&lt;&gt;""),P172&lt;&gt;""),"√","")</f>
        <v/>
      </c>
      <c r="R172" s="249">
        <f t="shared" si="85"/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39">
        <f t="shared" si="83"/>
        <v>0</v>
      </c>
      <c r="AE172" s="85"/>
      <c r="AF172" s="85"/>
    </row>
    <row r="173" spans="1:34" ht="13.15" hidden="1" x14ac:dyDescent="0.25">
      <c r="A173" s="114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49">
        <f>SUM(R138:R172)</f>
        <v>0</v>
      </c>
      <c r="S173" s="95">
        <f t="shared" ref="S173:X173" si="86">SUM(S175:S178)</f>
        <v>0</v>
      </c>
      <c r="T173" s="95">
        <f t="shared" si="86"/>
        <v>0</v>
      </c>
      <c r="U173" s="96">
        <f t="shared" si="86"/>
        <v>0</v>
      </c>
      <c r="V173" s="96">
        <f t="shared" si="86"/>
        <v>0</v>
      </c>
      <c r="W173" s="96">
        <f t="shared" si="86"/>
        <v>0</v>
      </c>
      <c r="X173" s="112">
        <f t="shared" si="86"/>
        <v>0</v>
      </c>
      <c r="Y173" s="112">
        <f t="shared" ref="Y173:AB173" si="87">SUM(Y175:Y178)</f>
        <v>0</v>
      </c>
      <c r="Z173" s="112">
        <f t="shared" si="87"/>
        <v>0</v>
      </c>
      <c r="AA173" s="112">
        <f t="shared" si="87"/>
        <v>0</v>
      </c>
      <c r="AB173" s="112">
        <f t="shared" si="87"/>
        <v>0</v>
      </c>
      <c r="AC173" s="143">
        <f>SUM(X173:AB173)</f>
        <v>0</v>
      </c>
    </row>
    <row r="174" spans="1:34" hidden="1" x14ac:dyDescent="0.2">
      <c r="A174" s="135" t="s">
        <v>636</v>
      </c>
      <c r="C174" s="52" t="s">
        <v>1036</v>
      </c>
      <c r="K174" s="12"/>
      <c r="N174" s="14"/>
      <c r="O174" s="56">
        <f t="shared" si="82"/>
        <v>1</v>
      </c>
      <c r="R174" s="256"/>
      <c r="S174" s="93">
        <f t="shared" ref="S174:W174" si="88">IF(S160&gt;0,SUM(S162:S172)/S160,0)</f>
        <v>0</v>
      </c>
      <c r="T174" s="93">
        <f t="shared" si="88"/>
        <v>0</v>
      </c>
      <c r="U174" s="94">
        <f t="shared" si="88"/>
        <v>0</v>
      </c>
      <c r="V174" s="94">
        <f t="shared" si="88"/>
        <v>0</v>
      </c>
      <c r="W174" s="94">
        <f t="shared" si="88"/>
        <v>0</v>
      </c>
      <c r="X174" s="98">
        <f t="shared" ref="X174:Y174" si="89">IF(X160&gt;0,SUM(X162:X172)/X160,0)</f>
        <v>0</v>
      </c>
      <c r="Y174" s="98">
        <f t="shared" si="89"/>
        <v>0</v>
      </c>
      <c r="Z174" s="98">
        <f t="shared" ref="Z174:AB174" si="90">IF(Z160&gt;0,SUM(Z162:Z172)/Z160,0)</f>
        <v>0</v>
      </c>
      <c r="AA174" s="98">
        <f t="shared" si="90"/>
        <v>0</v>
      </c>
      <c r="AB174" s="98">
        <f t="shared" si="90"/>
        <v>0</v>
      </c>
    </row>
    <row r="175" spans="1:34" s="68" customFormat="1" hidden="1" x14ac:dyDescent="0.2">
      <c r="A175" s="135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2"/>
        <v>1</v>
      </c>
      <c r="P175" s="65"/>
      <c r="Q175" s="65"/>
      <c r="R175" s="251"/>
      <c r="S175" s="233">
        <f>(SUMIF($M$138:$M$158,"&lt;=1",S$138:S$158)-IF($P$13&gt;$M175,SUMIF($M$138:$M$158,"=0",S$138:S$158))+IF(S174,0,SUM(S162:S166)))*(1+S$174)</f>
        <v>0</v>
      </c>
      <c r="T175" s="233">
        <f t="shared" ref="T175:AB175" si="91">(SUMIF($M$138:$M$158,"&lt;=1",T$138:T$158)-IF($P$13&gt;$M175,SUMIF($M$138:$M$158,"=0",T$138:T$158))+IF(T174,0,SUM(T162:T166)))*(1+T$174)</f>
        <v>0</v>
      </c>
      <c r="U175" s="233">
        <f t="shared" si="91"/>
        <v>0</v>
      </c>
      <c r="V175" s="233">
        <f t="shared" si="91"/>
        <v>0</v>
      </c>
      <c r="W175" s="233">
        <f t="shared" si="91"/>
        <v>0</v>
      </c>
      <c r="X175" s="233">
        <f t="shared" si="91"/>
        <v>0</v>
      </c>
      <c r="Y175" s="233">
        <f t="shared" si="91"/>
        <v>0</v>
      </c>
      <c r="Z175" s="233">
        <f t="shared" si="91"/>
        <v>0</v>
      </c>
      <c r="AA175" s="233">
        <f t="shared" si="91"/>
        <v>0</v>
      </c>
      <c r="AB175" s="233">
        <f t="shared" si="91"/>
        <v>0</v>
      </c>
      <c r="AC175" s="137"/>
      <c r="AD175" s="89"/>
    </row>
    <row r="176" spans="1:34" s="68" customFormat="1" hidden="1" x14ac:dyDescent="0.2">
      <c r="A176" s="135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2"/>
        <v>1</v>
      </c>
      <c r="P176" s="65"/>
      <c r="Q176" s="65"/>
      <c r="R176" s="251"/>
      <c r="S176" s="233">
        <f>(SUMIF($M$138:$M$158,"&lt;=10",S$138:S$158)-IF($P$13&gt;$M176,SUMIF($M$138:$M$158,"=0",S$138:S$158))+IF(S174,0,SUM(S162:S166)))*(1+S$174)-S175</f>
        <v>0</v>
      </c>
      <c r="T176" s="233">
        <f t="shared" ref="T176:AB176" si="92">(SUMIF($M$138:$M$158,"&lt;=10",T$138:T$158)-IF($P$13&gt;$M176,SUMIF($M$138:$M$158,"=0",T$138:T$158))+IF(T174,0,SUM(T162:T166)))*(1+T$174)-T175</f>
        <v>0</v>
      </c>
      <c r="U176" s="233">
        <f t="shared" si="92"/>
        <v>0</v>
      </c>
      <c r="V176" s="233">
        <f t="shared" si="92"/>
        <v>0</v>
      </c>
      <c r="W176" s="233">
        <f t="shared" si="92"/>
        <v>0</v>
      </c>
      <c r="X176" s="233">
        <f t="shared" si="92"/>
        <v>0</v>
      </c>
      <c r="Y176" s="233">
        <f t="shared" si="92"/>
        <v>0</v>
      </c>
      <c r="Z176" s="233">
        <f t="shared" si="92"/>
        <v>0</v>
      </c>
      <c r="AA176" s="233">
        <f t="shared" si="92"/>
        <v>0</v>
      </c>
      <c r="AB176" s="233">
        <f t="shared" si="92"/>
        <v>0</v>
      </c>
      <c r="AC176" s="137"/>
      <c r="AD176" s="89"/>
    </row>
    <row r="177" spans="1:30" s="68" customFormat="1" hidden="1" x14ac:dyDescent="0.2">
      <c r="A177" s="135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2"/>
        <v>1</v>
      </c>
      <c r="P177" s="65"/>
      <c r="Q177" s="65"/>
      <c r="R177" s="251"/>
      <c r="S177" s="233">
        <f>(SUMIF($M$138:$M$158,"&lt;=35",S$138:S$158)-IF($P$13&gt;$M177,SUMIF($M$138:$M$158,"=0",S$138:S$158))+IF(S174,0,SUM(S162:S166)))*(1+S$174)-S175-S176</f>
        <v>0</v>
      </c>
      <c r="T177" s="233">
        <f t="shared" ref="T177:AB177" si="93">(SUMIF($M$138:$M$158,"&lt;=35",T$138:T$158)-IF($P$13&gt;$M177,SUMIF($M$138:$M$158,"=0",T$138:T$158))+IF(T174,0,SUM(T162:T166)))*(1+T$174)-T175-T176</f>
        <v>0</v>
      </c>
      <c r="U177" s="233">
        <f t="shared" si="93"/>
        <v>0</v>
      </c>
      <c r="V177" s="233">
        <f t="shared" si="93"/>
        <v>0</v>
      </c>
      <c r="W177" s="233">
        <f t="shared" si="93"/>
        <v>0</v>
      </c>
      <c r="X177" s="233">
        <f t="shared" si="93"/>
        <v>0</v>
      </c>
      <c r="Y177" s="233">
        <f t="shared" si="93"/>
        <v>0</v>
      </c>
      <c r="Z177" s="233">
        <f t="shared" si="93"/>
        <v>0</v>
      </c>
      <c r="AA177" s="233">
        <f t="shared" si="93"/>
        <v>0</v>
      </c>
      <c r="AB177" s="233">
        <f t="shared" si="93"/>
        <v>0</v>
      </c>
      <c r="AC177" s="137"/>
      <c r="AD177" s="89"/>
    </row>
    <row r="178" spans="1:30" s="68" customFormat="1" hidden="1" x14ac:dyDescent="0.2">
      <c r="A178" s="135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2"/>
        <v>1</v>
      </c>
      <c r="P178" s="65"/>
      <c r="Q178" s="65"/>
      <c r="R178" s="251"/>
      <c r="S178" s="130">
        <f t="shared" ref="S178:AB178" si="94">(SUMIF($M$138:$M$158,"&gt;=110",S$138:S$158)+IF($P$13&gt;=$M178,SUMIF($M$138:$M$158,"=0",S$138:S$158)))*(1+S$174)</f>
        <v>0</v>
      </c>
      <c r="T178" s="130">
        <f t="shared" si="94"/>
        <v>0</v>
      </c>
      <c r="U178" s="130">
        <f t="shared" si="94"/>
        <v>0</v>
      </c>
      <c r="V178" s="130">
        <f t="shared" si="94"/>
        <v>0</v>
      </c>
      <c r="W178" s="130">
        <f t="shared" si="94"/>
        <v>0</v>
      </c>
      <c r="X178" s="88">
        <f t="shared" si="94"/>
        <v>0</v>
      </c>
      <c r="Y178" s="88">
        <f t="shared" si="94"/>
        <v>0</v>
      </c>
      <c r="Z178" s="88">
        <f t="shared" si="94"/>
        <v>0</v>
      </c>
      <c r="AA178" s="88">
        <f t="shared" si="94"/>
        <v>0</v>
      </c>
      <c r="AB178" s="88">
        <f t="shared" si="94"/>
        <v>0</v>
      </c>
      <c r="AC178" s="137"/>
      <c r="AD178" s="89"/>
    </row>
    <row r="179" spans="1:30" x14ac:dyDescent="0.2">
      <c r="A179" s="181"/>
      <c r="B179" s="182"/>
      <c r="C179" s="182" t="s">
        <v>469</v>
      </c>
      <c r="D179" s="182"/>
      <c r="E179" s="182"/>
      <c r="F179" s="182"/>
      <c r="G179" s="182"/>
      <c r="H179" s="182"/>
      <c r="I179" s="182"/>
      <c r="J179" s="182" t="s">
        <v>403</v>
      </c>
      <c r="K179" s="184">
        <f ca="1">$M$11-1</f>
        <v>9.000000000000008E-2</v>
      </c>
      <c r="L179" s="184"/>
      <c r="M179" s="182"/>
      <c r="N179" s="182"/>
      <c r="O179" s="182"/>
      <c r="P179" s="231" t="s">
        <v>403</v>
      </c>
      <c r="Q179" s="182"/>
      <c r="R179" s="257"/>
    </row>
    <row r="180" spans="1:30" ht="13.15" hidden="1" x14ac:dyDescent="0.25">
      <c r="A180" s="181"/>
      <c r="B180" s="182"/>
      <c r="C180" s="187" t="s">
        <v>667</v>
      </c>
      <c r="D180" s="187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91" t="str">
        <f ca="1">IF(R$180%,R180/R$180%,"")</f>
        <v/>
      </c>
      <c r="Q180" s="182"/>
      <c r="R180" s="249">
        <f ca="1">ROUND(R173*(1+$K$179),2)</f>
        <v>0</v>
      </c>
      <c r="S180" s="53">
        <f>SUM(R138:R172)</f>
        <v>0</v>
      </c>
      <c r="T180" s="53">
        <f>SUM(X175:AB178)</f>
        <v>0</v>
      </c>
      <c r="U180" s="80">
        <f ca="1">ROUND(S180*(1+$P$12)+T180+SUM(R135:R136)-(R189-R188)/(1+$K$179)-R188/(1+$P$12),2)</f>
        <v>0</v>
      </c>
    </row>
    <row r="181" spans="1:30" ht="13.15" hidden="1" x14ac:dyDescent="0.25">
      <c r="A181" s="181"/>
      <c r="B181" s="182"/>
      <c r="C181" s="182" t="s">
        <v>668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91" t="str">
        <f ca="1">IF(SUM(P182:P187),SUM(P182:P187),"")</f>
        <v/>
      </c>
      <c r="Q181" s="194"/>
      <c r="R181" s="254">
        <f ca="1">SUM(R182:R187)</f>
        <v>0</v>
      </c>
      <c r="S181" s="53">
        <f ca="1">ROUND(R181-AC173*(1+K179)-R187,2)</f>
        <v>0</v>
      </c>
      <c r="T181" s="53"/>
      <c r="U181" s="80"/>
    </row>
    <row r="182" spans="1:30" ht="13.15" hidden="1" x14ac:dyDescent="0.25">
      <c r="A182" s="190"/>
      <c r="B182" s="182" t="s">
        <v>1184</v>
      </c>
      <c r="C182" s="183" t="s">
        <v>1233</v>
      </c>
      <c r="D182" s="182"/>
      <c r="E182" s="182"/>
      <c r="F182" s="182"/>
      <c r="G182" s="182"/>
      <c r="H182" s="182"/>
      <c r="I182" s="182"/>
      <c r="J182" s="182"/>
      <c r="K182" s="184"/>
      <c r="L182" s="184"/>
      <c r="M182" s="185"/>
      <c r="N182" s="182"/>
      <c r="O182" s="182"/>
      <c r="P182" s="192" t="str">
        <f t="shared" ref="P182:P188" ca="1" si="95">IF(R$180%,R182/R$180%,"")</f>
        <v/>
      </c>
      <c r="Q182" s="182"/>
      <c r="R182" s="249">
        <f ca="1">ROUND(X173*(1+$K$179),2)</f>
        <v>0</v>
      </c>
      <c r="S182" s="53"/>
      <c r="T182" s="53"/>
      <c r="U182" s="80"/>
    </row>
    <row r="183" spans="1:30" ht="13.15" hidden="1" x14ac:dyDescent="0.25">
      <c r="A183" s="190"/>
      <c r="B183" s="182" t="s">
        <v>1184</v>
      </c>
      <c r="C183" s="203" t="str">
        <f>"временные здания и сооружения"&amp;IF(ISBLANK($C$12),""," (К=0,8)")</f>
        <v>временные здания и сооружения</v>
      </c>
      <c r="D183" s="182"/>
      <c r="E183" s="182"/>
      <c r="F183" s="182"/>
      <c r="G183" s="182"/>
      <c r="H183" s="182"/>
      <c r="I183" s="182"/>
      <c r="J183" s="182"/>
      <c r="K183" s="184"/>
      <c r="L183" s="184"/>
      <c r="M183" s="185"/>
      <c r="N183" s="182"/>
      <c r="O183" s="182"/>
      <c r="P183" s="192" t="str">
        <f t="shared" ca="1" si="95"/>
        <v/>
      </c>
      <c r="Q183" s="182"/>
      <c r="R183" s="249">
        <f ca="1">ROUND(Y173*(1+$K$179),2)</f>
        <v>0</v>
      </c>
      <c r="S183" s="53"/>
      <c r="T183" s="53"/>
      <c r="U183" s="80"/>
    </row>
    <row r="184" spans="1:30" ht="13.15" hidden="1" x14ac:dyDescent="0.25">
      <c r="A184" s="190"/>
      <c r="B184" s="182" t="s">
        <v>1184</v>
      </c>
      <c r="C184" s="203" t="s">
        <v>1333</v>
      </c>
      <c r="D184" s="182"/>
      <c r="E184" s="182"/>
      <c r="F184" s="182"/>
      <c r="G184" s="182"/>
      <c r="H184" s="182"/>
      <c r="I184" s="182"/>
      <c r="J184" s="182"/>
      <c r="K184" s="184"/>
      <c r="L184" s="184"/>
      <c r="M184" s="185"/>
      <c r="N184" s="182"/>
      <c r="O184" s="182"/>
      <c r="P184" s="192" t="str">
        <f t="shared" ca="1" si="95"/>
        <v/>
      </c>
      <c r="Q184" s="182"/>
      <c r="R184" s="249">
        <f ca="1">ROUND(Z173*(1+$K$179),2)</f>
        <v>0</v>
      </c>
      <c r="S184" s="53"/>
      <c r="T184" s="53"/>
      <c r="U184" s="80"/>
    </row>
    <row r="185" spans="1:30" ht="13.15" hidden="1" x14ac:dyDescent="0.25">
      <c r="A185" s="190"/>
      <c r="B185" s="182" t="s">
        <v>1184</v>
      </c>
      <c r="C185" s="364" t="s">
        <v>1234</v>
      </c>
      <c r="D185" s="182"/>
      <c r="E185" s="182"/>
      <c r="F185" s="182"/>
      <c r="G185" s="182"/>
      <c r="H185" s="182"/>
      <c r="I185" s="182"/>
      <c r="J185" s="182"/>
      <c r="K185" s="184"/>
      <c r="L185" s="184"/>
      <c r="M185" s="185"/>
      <c r="N185" s="182"/>
      <c r="O185" s="182"/>
      <c r="P185" s="192" t="str">
        <f t="shared" ca="1" si="95"/>
        <v/>
      </c>
      <c r="Q185" s="182"/>
      <c r="R185" s="249">
        <f ca="1">ROUND(AA173*(1+$K$179),2)</f>
        <v>0</v>
      </c>
      <c r="S185" s="53"/>
      <c r="T185" s="53"/>
      <c r="U185" s="80"/>
    </row>
    <row r="186" spans="1:30" ht="13.15" hidden="1" x14ac:dyDescent="0.25">
      <c r="A186" s="190"/>
      <c r="B186" s="182" t="s">
        <v>1184</v>
      </c>
      <c r="C186" s="203" t="s">
        <v>1031</v>
      </c>
      <c r="D186" s="182"/>
      <c r="E186" s="182"/>
      <c r="F186" s="182"/>
      <c r="G186" s="182"/>
      <c r="H186" s="182"/>
      <c r="I186" s="182"/>
      <c r="J186" s="182"/>
      <c r="K186" s="184"/>
      <c r="L186" s="184"/>
      <c r="M186" s="185"/>
      <c r="N186" s="182"/>
      <c r="O186" s="182"/>
      <c r="P186" s="192" t="str">
        <f t="shared" ca="1" si="95"/>
        <v/>
      </c>
      <c r="Q186" s="182"/>
      <c r="R186" s="249">
        <f ca="1">ROUND(AB173*(1+$K$179),2)</f>
        <v>0</v>
      </c>
      <c r="S186" s="60"/>
      <c r="T186" s="53"/>
      <c r="U186" s="80"/>
    </row>
    <row r="187" spans="1:30" s="60" customFormat="1" ht="12.75" hidden="1" customHeight="1" x14ac:dyDescent="0.25">
      <c r="A187" s="181"/>
      <c r="B187" s="182" t="s">
        <v>1184</v>
      </c>
      <c r="C187" s="203" t="s">
        <v>1034</v>
      </c>
      <c r="D187" s="182"/>
      <c r="E187" s="182"/>
      <c r="F187" s="182"/>
      <c r="G187" s="182"/>
      <c r="H187" s="182"/>
      <c r="I187" s="182"/>
      <c r="J187" s="182"/>
      <c r="K187" s="184"/>
      <c r="L187" s="184"/>
      <c r="M187" s="185"/>
      <c r="N187" s="182"/>
      <c r="O187" s="182"/>
      <c r="P187" s="192" t="str">
        <f ca="1">IF(R$180%,R187/R$180%,"")</f>
        <v/>
      </c>
      <c r="Q187" s="182"/>
      <c r="R187" s="249">
        <f ca="1">ROUND(R180*$P$12,2)</f>
        <v>0</v>
      </c>
      <c r="S187" s="212">
        <f ca="1">IF(R189-R187-R188,R187/(R189-R187-R188),0)</f>
        <v>0</v>
      </c>
      <c r="T187" s="53"/>
      <c r="U187" s="80"/>
      <c r="V187" s="80"/>
      <c r="W187" s="80"/>
      <c r="X187" s="89"/>
      <c r="Y187" s="89"/>
      <c r="Z187" s="89"/>
      <c r="AA187" s="89"/>
      <c r="AB187" s="89"/>
      <c r="AC187" s="137"/>
      <c r="AD187" s="89"/>
    </row>
    <row r="188" spans="1:30" s="60" customFormat="1" ht="12.75" hidden="1" customHeight="1" x14ac:dyDescent="0.25">
      <c r="A188" s="190"/>
      <c r="B188" s="182"/>
      <c r="C188" s="194" t="s">
        <v>1260</v>
      </c>
      <c r="D188" s="182"/>
      <c r="E188" s="182"/>
      <c r="F188" s="182"/>
      <c r="G188" s="182"/>
      <c r="H188" s="182"/>
      <c r="I188" s="182"/>
      <c r="J188" s="182"/>
      <c r="K188" s="184"/>
      <c r="L188" s="184"/>
      <c r="M188" s="185"/>
      <c r="N188" s="182"/>
      <c r="O188" s="182"/>
      <c r="P188" s="191" t="str">
        <f t="shared" ca="1" si="95"/>
        <v/>
      </c>
      <c r="Q188" s="182"/>
      <c r="R188" s="249">
        <f>ROUND(SUM(R135:R136)*(1+$P$12),2)</f>
        <v>0</v>
      </c>
      <c r="S188" s="53"/>
      <c r="T188" s="53"/>
      <c r="U188" s="80"/>
      <c r="V188" s="80"/>
      <c r="W188" s="80"/>
      <c r="X188" s="89"/>
      <c r="Y188" s="89"/>
      <c r="Z188" s="89"/>
      <c r="AA188" s="89"/>
      <c r="AB188" s="89"/>
      <c r="AC188" s="137"/>
      <c r="AD188" s="89"/>
    </row>
    <row r="189" spans="1:30" ht="13.15" hidden="1" x14ac:dyDescent="0.25">
      <c r="A189" s="181"/>
      <c r="B189" s="182"/>
      <c r="C189" s="186" t="s">
        <v>1335</v>
      </c>
      <c r="D189" s="186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255">
        <f ca="1">R180+R181+R188</f>
        <v>0</v>
      </c>
      <c r="S189" s="53">
        <f ca="1">ROUND(SUM(S175:W178)*(1+K179)+R180*$P$12+R188-R189,2)</f>
        <v>0</v>
      </c>
      <c r="T189" s="53"/>
      <c r="U189" s="80"/>
    </row>
    <row r="190" spans="1:30" x14ac:dyDescent="0.2">
      <c r="C190" s="2" t="s">
        <v>470</v>
      </c>
      <c r="P190" s="124" t="s">
        <v>403</v>
      </c>
      <c r="R190" s="256"/>
      <c r="S190" s="46"/>
      <c r="T190" s="46"/>
    </row>
    <row r="191" spans="1:30" ht="13.15" hidden="1" x14ac:dyDescent="0.25">
      <c r="C191" s="2" t="s">
        <v>1037</v>
      </c>
      <c r="K191" s="18"/>
      <c r="N191" s="60"/>
      <c r="P191" s="191" t="str">
        <f ca="1">IF(SUM(P192:P195),SUM(P192:P195),"")</f>
        <v/>
      </c>
      <c r="R191" s="249">
        <f ca="1">SUM(R192:R195)</f>
        <v>0</v>
      </c>
      <c r="S191" s="53">
        <f ca="1">ROUND(R191-S173*(1+$K$179)*(1+$S$187),2)</f>
        <v>0</v>
      </c>
    </row>
    <row r="192" spans="1:30" ht="13.15" hidden="1" x14ac:dyDescent="0.25">
      <c r="C192" s="2" t="s">
        <v>984</v>
      </c>
      <c r="K192" s="18"/>
      <c r="N192" s="60"/>
      <c r="P192" s="192" t="str">
        <f t="shared" ref="P192:P199" ca="1" si="96">IF(R$189,R192/R$189%,"")</f>
        <v/>
      </c>
      <c r="R192" s="249">
        <f ca="1">S192</f>
        <v>0</v>
      </c>
      <c r="S192" s="62">
        <f ca="1">ROUND(S175*(1+$K$179)*(1+$S$187),2)</f>
        <v>0</v>
      </c>
      <c r="T192" s="62">
        <f t="shared" ref="T192:W192" ca="1" si="97">ROUND(T175*(1+$K$179)*(1+$S$187),2)</f>
        <v>0</v>
      </c>
      <c r="U192" s="84">
        <f t="shared" ca="1" si="97"/>
        <v>0</v>
      </c>
      <c r="V192" s="84">
        <f t="shared" ca="1" si="97"/>
        <v>0</v>
      </c>
      <c r="W192" s="84">
        <f t="shared" ca="1" si="97"/>
        <v>0</v>
      </c>
    </row>
    <row r="193" spans="1:29" ht="13.15" hidden="1" x14ac:dyDescent="0.25">
      <c r="C193" s="2" t="s">
        <v>985</v>
      </c>
      <c r="K193" s="18"/>
      <c r="N193" s="60"/>
      <c r="P193" s="192" t="str">
        <f t="shared" ca="1" si="96"/>
        <v/>
      </c>
      <c r="R193" s="249">
        <f t="shared" ref="R193:R195" ca="1" si="98">S193</f>
        <v>0</v>
      </c>
      <c r="S193" s="62">
        <f t="shared" ref="S193:W193" ca="1" si="99">ROUND(S176*(1+$K$179)*(1+$S$187),2)</f>
        <v>0</v>
      </c>
      <c r="T193" s="62">
        <f t="shared" ca="1" si="99"/>
        <v>0</v>
      </c>
      <c r="U193" s="84">
        <f t="shared" ca="1" si="99"/>
        <v>0</v>
      </c>
      <c r="V193" s="84">
        <f t="shared" ca="1" si="99"/>
        <v>0</v>
      </c>
      <c r="W193" s="84">
        <f t="shared" ca="1" si="99"/>
        <v>0</v>
      </c>
    </row>
    <row r="194" spans="1:29" ht="13.15" hidden="1" x14ac:dyDescent="0.25">
      <c r="C194" s="2" t="s">
        <v>986</v>
      </c>
      <c r="K194" s="18"/>
      <c r="N194" s="60"/>
      <c r="P194" s="192" t="str">
        <f t="shared" ca="1" si="96"/>
        <v/>
      </c>
      <c r="R194" s="249">
        <f t="shared" ca="1" si="98"/>
        <v>0</v>
      </c>
      <c r="S194" s="62">
        <f t="shared" ref="S194:W194" ca="1" si="100">ROUND(S177*(1+$K$179)*(1+$S$187),2)</f>
        <v>0</v>
      </c>
      <c r="T194" s="62">
        <f t="shared" ca="1" si="100"/>
        <v>0</v>
      </c>
      <c r="U194" s="84">
        <f t="shared" ca="1" si="100"/>
        <v>0</v>
      </c>
      <c r="V194" s="84">
        <f t="shared" ca="1" si="100"/>
        <v>0</v>
      </c>
      <c r="W194" s="84">
        <f t="shared" ca="1" si="100"/>
        <v>0</v>
      </c>
    </row>
    <row r="195" spans="1:29" ht="13.15" hidden="1" x14ac:dyDescent="0.25">
      <c r="C195" s="2" t="s">
        <v>987</v>
      </c>
      <c r="K195" s="18"/>
      <c r="N195" s="60"/>
      <c r="P195" s="192" t="str">
        <f t="shared" ca="1" si="96"/>
        <v/>
      </c>
      <c r="R195" s="249">
        <f t="shared" ca="1" si="98"/>
        <v>0</v>
      </c>
      <c r="S195" s="62">
        <f t="shared" ref="S195:W195" ca="1" si="101">ROUND(S178*(1+$K$179)*(1+$S$187),2)</f>
        <v>0</v>
      </c>
      <c r="T195" s="62">
        <f t="shared" ca="1" si="101"/>
        <v>0</v>
      </c>
      <c r="U195" s="84">
        <f t="shared" ca="1" si="101"/>
        <v>0</v>
      </c>
      <c r="V195" s="84">
        <f t="shared" ca="1" si="101"/>
        <v>0</v>
      </c>
      <c r="W195" s="84">
        <f t="shared" ca="1" si="101"/>
        <v>0</v>
      </c>
    </row>
    <row r="196" spans="1:29" ht="13.15" hidden="1" x14ac:dyDescent="0.25">
      <c r="C196" s="2" t="s">
        <v>1039</v>
      </c>
      <c r="K196" s="18"/>
      <c r="N196" s="60"/>
      <c r="P196" s="192" t="str">
        <f t="shared" ca="1" si="96"/>
        <v/>
      </c>
      <c r="R196" s="249">
        <f ca="1">ROUND(T173*(1+$K$179)*(1+$S$187),2)</f>
        <v>0</v>
      </c>
      <c r="S196" s="53">
        <f ca="1">ROUND(R196-SUM(T192:T195),2)</f>
        <v>0</v>
      </c>
      <c r="T196" s="60"/>
    </row>
    <row r="197" spans="1:29" ht="13.15" hidden="1" x14ac:dyDescent="0.25">
      <c r="C197" s="2" t="s">
        <v>1040</v>
      </c>
      <c r="K197" s="18"/>
      <c r="N197" s="60"/>
      <c r="P197" s="192" t="str">
        <f t="shared" ca="1" si="96"/>
        <v/>
      </c>
      <c r="R197" s="249">
        <f ca="1">ROUND(U173*(1+$K$179)*(1+$S$187),2)</f>
        <v>0</v>
      </c>
      <c r="S197" s="53">
        <f ca="1">ROUND(R197-SUM(U192:U195),2)</f>
        <v>0</v>
      </c>
    </row>
    <row r="198" spans="1:29" ht="13.15" hidden="1" x14ac:dyDescent="0.25">
      <c r="C198" s="2" t="s">
        <v>1098</v>
      </c>
      <c r="K198" s="18"/>
      <c r="P198" s="192" t="str">
        <f t="shared" ca="1" si="96"/>
        <v/>
      </c>
      <c r="R198" s="249">
        <f ca="1">ROUND(V173*(1+$K$179)*(1+$S$187),2)</f>
        <v>0</v>
      </c>
      <c r="S198" s="53">
        <f ca="1">ROUND(R198-SUM(V192:V195),2)</f>
        <v>0</v>
      </c>
    </row>
    <row r="199" spans="1:29" ht="13.15" hidden="1" x14ac:dyDescent="0.25">
      <c r="C199" s="60" t="s">
        <v>1338</v>
      </c>
      <c r="K199" s="18"/>
      <c r="N199" s="60"/>
      <c r="P199" s="192" t="str">
        <f t="shared" ca="1" si="96"/>
        <v/>
      </c>
      <c r="R199" s="249">
        <f ca="1">R189-(R191+R196+R197+R198)</f>
        <v>0</v>
      </c>
      <c r="S199" s="53">
        <f ca="1">ROUND(R199-SUM(W192:W195)-R188,2)</f>
        <v>0</v>
      </c>
    </row>
    <row r="200" spans="1:29" x14ac:dyDescent="0.2">
      <c r="K200" s="18"/>
      <c r="P200" s="193" t="str">
        <f ca="1">IF(ISNUMBER(P191+P196+P197+P198+P199),P191+P196+P197+P198+P199,"")</f>
        <v/>
      </c>
      <c r="R200" s="85"/>
    </row>
    <row r="201" spans="1:29" x14ac:dyDescent="0.2">
      <c r="K201" s="18"/>
      <c r="AC201" s="89"/>
    </row>
    <row r="202" spans="1:29" ht="12.75" customHeight="1" x14ac:dyDescent="0.2">
      <c r="A202" s="587" t="s">
        <v>325</v>
      </c>
      <c r="B202" s="591" t="s">
        <v>427</v>
      </c>
      <c r="C202" s="589" t="s">
        <v>324</v>
      </c>
      <c r="D202" s="587" t="s">
        <v>1104</v>
      </c>
      <c r="E202" s="600" t="s">
        <v>326</v>
      </c>
      <c r="F202" s="600"/>
      <c r="G202" s="600"/>
      <c r="H202" s="600"/>
      <c r="I202" s="600"/>
      <c r="J202" s="600" t="s">
        <v>328</v>
      </c>
      <c r="K202" s="600"/>
      <c r="L202" s="21"/>
      <c r="M202" s="21"/>
      <c r="N202" s="600" t="s">
        <v>410</v>
      </c>
      <c r="O202" s="600"/>
      <c r="P202" s="600"/>
      <c r="Q202" s="587" t="s">
        <v>406</v>
      </c>
      <c r="R202" s="591" t="s">
        <v>407</v>
      </c>
      <c r="S202" s="60"/>
      <c r="T202" s="60"/>
    </row>
    <row r="203" spans="1:29" ht="35.25" customHeight="1" x14ac:dyDescent="0.2">
      <c r="A203" s="588"/>
      <c r="B203" s="591"/>
      <c r="C203" s="589"/>
      <c r="D203" s="588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5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88"/>
      <c r="R203" s="591"/>
      <c r="S203" s="4" t="s">
        <v>1293</v>
      </c>
      <c r="T203" s="4" t="s">
        <v>1280</v>
      </c>
      <c r="U203" s="108" t="s">
        <v>1294</v>
      </c>
      <c r="V203" s="110"/>
      <c r="W203" s="110"/>
      <c r="X203" s="111"/>
      <c r="Y203" s="111"/>
      <c r="AA203" s="111"/>
    </row>
    <row r="204" spans="1:29" x14ac:dyDescent="0.2">
      <c r="A204" s="114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49"/>
      <c r="S204" s="208">
        <f>IF(M293&lt;=35,0,1)</f>
        <v>0</v>
      </c>
      <c r="T204" s="208">
        <f>IF(SUM(R216:R220,AD255:AD262),1,0)</f>
        <v>0</v>
      </c>
      <c r="U204" s="208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35 кВ и ниже</v>
      </c>
      <c r="W204" s="86"/>
    </row>
    <row r="205" spans="1:29" x14ac:dyDescent="0.2">
      <c r="A205" s="114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49"/>
      <c r="S205" s="209">
        <v>1</v>
      </c>
      <c r="T205" s="209">
        <v>2</v>
      </c>
      <c r="U205" s="210">
        <v>3</v>
      </c>
      <c r="V205" s="210">
        <v>4</v>
      </c>
      <c r="W205" s="210">
        <v>5</v>
      </c>
      <c r="X205" s="205">
        <v>1</v>
      </c>
      <c r="Y205" s="205">
        <v>2</v>
      </c>
      <c r="Z205" s="205">
        <v>3</v>
      </c>
      <c r="AA205" s="205">
        <v>4</v>
      </c>
      <c r="AB205" s="205">
        <v>5</v>
      </c>
    </row>
    <row r="206" spans="1:29" ht="13.15" hidden="1" x14ac:dyDescent="0.25">
      <c r="A206" s="114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9">
        <v>0</v>
      </c>
      <c r="S206" s="207">
        <f ca="1">OFFSET(Таблица!$B$703,1+$U$204*4+$T$204*2+$S$204,4+S205,1,1)</f>
        <v>33</v>
      </c>
      <c r="T206" s="207">
        <f ca="1">OFFSET(Таблица!$B$703,1+$U$204*4+$T$204*2+$S$204,4+T205,1,1)</f>
        <v>55</v>
      </c>
      <c r="U206" s="207">
        <f ca="1">OFFSET(Таблица!$B$703,1+$U$204*4+$T$204*2+$S$204,4+U205,1,1)</f>
        <v>3.8</v>
      </c>
      <c r="V206" s="207">
        <f ca="1">OFFSET(Таблица!$B$703,1+$U$204*4+$T$204*2+$S$204,4+V205,1,1)</f>
        <v>4</v>
      </c>
      <c r="W206" s="207">
        <f ca="1">OFFSET(Таблица!$B$703,1+$U$204*4+$T$204*2+$S$204,4+W205,1,1)</f>
        <v>4.2</v>
      </c>
      <c r="X206" s="215">
        <f ca="1">OFFSET(Таблица!$R$35,X205+$S$204*8,0,1,1)</f>
        <v>0.02</v>
      </c>
      <c r="Y206" s="215">
        <f ca="1">OFFSET(Таблица!$R$35,Y205+$S$204*8,0,1,1)</f>
        <v>3.9E-2</v>
      </c>
      <c r="Z206" s="215">
        <f ca="1">OFFSET(Таблица!$R$35,Z205+$S$204*8,0,1,1)</f>
        <v>7.0000000000000007E-2</v>
      </c>
      <c r="AA206" s="215">
        <f ca="1">OFFSET(Таблица!$R$35,AA205+$S$204*8,0,1,1)</f>
        <v>2.5999999999999999E-2</v>
      </c>
      <c r="AB206" s="215">
        <f ca="1">OFFSET(Таблица!$R$35,AB205+$S$204*8,0,1,1)</f>
        <v>7.4999999999999997E-2</v>
      </c>
    </row>
    <row r="207" spans="1:29" ht="13.15" hidden="1" x14ac:dyDescent="0.25">
      <c r="A207" s="114" t="str">
        <f>IF(C207="","",1)</f>
        <v/>
      </c>
      <c r="B207" s="56" t="s">
        <v>1354</v>
      </c>
      <c r="C207" s="48"/>
      <c r="D207" s="48"/>
      <c r="E207" s="56"/>
      <c r="F207" s="56"/>
      <c r="G207" s="50"/>
      <c r="H207" s="56"/>
      <c r="I207" s="56"/>
      <c r="J207" s="56" t="str">
        <f>IF($C207="","","шт.")</f>
        <v/>
      </c>
      <c r="K207" s="64"/>
      <c r="L207" s="56">
        <v>0</v>
      </c>
      <c r="M207" s="56" t="s">
        <v>1354</v>
      </c>
      <c r="N207" s="56" t="str">
        <f>IF($K207="","","т.р./га")</f>
        <v/>
      </c>
      <c r="O207" s="1">
        <f t="shared" ref="O207" si="102">IF(E207="",1,E207)*IF(F207="",1,F207)*IF(G207="",1,G207)*IF(H207="",1,H207)*IF(I207="",1,I207)</f>
        <v>1</v>
      </c>
      <c r="P207" s="42"/>
      <c r="Q207" s="11" t="str">
        <f>IF($C207&lt;&gt;"","V","")</f>
        <v/>
      </c>
      <c r="R207" s="249">
        <f>IF(C207="",0,IFERROR(K207*L207/10000*P207,0))</f>
        <v>0</v>
      </c>
      <c r="S207" s="62"/>
      <c r="T207" s="62"/>
      <c r="U207" s="84"/>
      <c r="V207" s="84"/>
      <c r="W207" s="84">
        <f t="shared" ref="W207:W208" si="103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ht="13.15" hidden="1" x14ac:dyDescent="0.25">
      <c r="A208" s="114" t="str">
        <f>IF(C208="","",MAX(A$207:A207)+1)</f>
        <v/>
      </c>
      <c r="B208" s="56" t="s">
        <v>1354</v>
      </c>
      <c r="C208" s="48"/>
      <c r="D208" s="48"/>
      <c r="E208" s="56"/>
      <c r="F208" s="56"/>
      <c r="G208" s="50"/>
      <c r="H208" s="56"/>
      <c r="I208" s="56"/>
      <c r="J208" s="56" t="str">
        <f>IF($C208="","","шт.")</f>
        <v/>
      </c>
      <c r="K208" s="64"/>
      <c r="L208" s="56">
        <v>0</v>
      </c>
      <c r="M208" s="56" t="s">
        <v>1354</v>
      </c>
      <c r="N208" s="56" t="str">
        <f>IF($K208="","","т.р./га")</f>
        <v/>
      </c>
      <c r="O208" s="1">
        <f t="shared" ref="O208" si="104">IF(E208="",1,E208)*IF(F208="",1,F208)*IF(G208="",1,G208)*IF(H208="",1,H208)*IF(I208="",1,I208)</f>
        <v>1</v>
      </c>
      <c r="P208" s="42"/>
      <c r="Q208" s="11" t="str">
        <f>IF($C208&lt;&gt;"","V","")</f>
        <v/>
      </c>
      <c r="R208" s="249">
        <f>IF(C208="",0,IFERROR(K208*L208/10000*P208,0))</f>
        <v>0</v>
      </c>
      <c r="S208" s="62"/>
      <c r="T208" s="62"/>
      <c r="U208" s="84"/>
      <c r="V208" s="84"/>
      <c r="W208" s="84">
        <f t="shared" si="103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ht="13.15" hidden="1" x14ac:dyDescent="0.25">
      <c r="A209" s="114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6"/>
      <c r="L209" s="1"/>
      <c r="M209" s="1"/>
      <c r="N209" s="1"/>
      <c r="O209" s="1"/>
      <c r="P209" s="1"/>
      <c r="Q209" s="1"/>
      <c r="R209" s="249">
        <v>0</v>
      </c>
      <c r="S209" s="85"/>
      <c r="T209" s="85"/>
      <c r="U209" s="86"/>
      <c r="V209" s="86"/>
      <c r="W209" s="86"/>
    </row>
    <row r="210" spans="1:30" ht="13.15" hidden="1" x14ac:dyDescent="0.25">
      <c r="A210" s="114" t="str">
        <f>IF(C210="","",MAX(A$207:A209)+1)</f>
        <v/>
      </c>
      <c r="B210" s="1" t="str">
        <f>IFERROR(VLOOKUP($C210,Таблица!$B$367:$E$385,2,FALSE),"")</f>
        <v/>
      </c>
      <c r="C210" s="31"/>
      <c r="D210" s="31"/>
      <c r="E210" s="1"/>
      <c r="F210" s="1"/>
      <c r="G210" s="50"/>
      <c r="H210" s="1"/>
      <c r="I210" s="1"/>
      <c r="J210" s="56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2"/>
      <c r="Q210" s="1" t="str">
        <f>IF(OR(AND(ISERROR(VLOOKUP($C210,Таблица!$B$367:$E$385,2,FALSE)),$C210&lt;&gt;""),P210&lt;&gt;""),"√","")</f>
        <v/>
      </c>
      <c r="R210" s="254">
        <f>IFERROR(ROUND(K210*IF(P210="",N210*O210,P210*O210),2),0)</f>
        <v>0</v>
      </c>
      <c r="S210" s="62">
        <f t="shared" ref="S210:W211" ca="1" si="105">ROUND(N($R210)/(1+$AD210)*(1+$AD210-3%)*S$206%*(1+$K$224),2)</f>
        <v>0</v>
      </c>
      <c r="T210" s="62">
        <f t="shared" ca="1" si="105"/>
        <v>0</v>
      </c>
      <c r="U210" s="84">
        <f t="shared" ca="1" si="105"/>
        <v>0</v>
      </c>
      <c r="V210" s="84">
        <f t="shared" ca="1" si="105"/>
        <v>0</v>
      </c>
      <c r="W210" s="84">
        <f t="shared" ca="1" si="105"/>
        <v>0</v>
      </c>
      <c r="X210" s="88">
        <f t="shared" ref="X210:AB211" ca="1" si="106">IF($R210="",0,ROUND($R210*X$206/(1+$AD210)*(1+$K$224),2))</f>
        <v>0</v>
      </c>
      <c r="Y210" s="88">
        <f t="shared" ca="1" si="106"/>
        <v>0</v>
      </c>
      <c r="Z210" s="88">
        <f t="shared" ca="1" si="106"/>
        <v>0</v>
      </c>
      <c r="AA210" s="88">
        <f t="shared" ca="1" si="106"/>
        <v>0</v>
      </c>
      <c r="AB210" s="88">
        <f t="shared" ca="1" si="106"/>
        <v>0</v>
      </c>
      <c r="AC210" s="237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ht="13.15" hidden="1" x14ac:dyDescent="0.25">
      <c r="A211" s="114" t="str">
        <f>IF(C211="","",MAX(A$207:A210)+1)</f>
        <v/>
      </c>
      <c r="B211" s="56" t="str">
        <f>IFERROR(VLOOKUP($C211,Таблица!$B$367:$E$385,2,FALSE),"")</f>
        <v/>
      </c>
      <c r="C211" s="31"/>
      <c r="D211" s="31"/>
      <c r="E211" s="1"/>
      <c r="F211" s="1"/>
      <c r="G211" s="32"/>
      <c r="H211" s="1"/>
      <c r="I211" s="1"/>
      <c r="J211" s="45" t="str">
        <f t="shared" ref="J211:J214" si="107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2"/>
      <c r="Q211" s="1" t="str">
        <f>IF(OR(AND(ISERROR(VLOOKUP($C211,Таблица!$B$367:$E$385,2,FALSE)),$C211&lt;&gt;""),P211&lt;&gt;""),"√","")</f>
        <v/>
      </c>
      <c r="R211" s="254">
        <f>IFERROR(ROUND(K211*IF(P211="",N211*O211,P211*O211),2),0)</f>
        <v>0</v>
      </c>
      <c r="S211" s="62">
        <f t="shared" ca="1" si="105"/>
        <v>0</v>
      </c>
      <c r="T211" s="62">
        <f t="shared" ca="1" si="105"/>
        <v>0</v>
      </c>
      <c r="U211" s="84">
        <f t="shared" ca="1" si="105"/>
        <v>0</v>
      </c>
      <c r="V211" s="84">
        <f t="shared" ca="1" si="105"/>
        <v>0</v>
      </c>
      <c r="W211" s="84">
        <f t="shared" ca="1" si="105"/>
        <v>0</v>
      </c>
      <c r="X211" s="88">
        <f t="shared" ca="1" si="106"/>
        <v>0</v>
      </c>
      <c r="Y211" s="88">
        <f t="shared" ca="1" si="106"/>
        <v>0</v>
      </c>
      <c r="Z211" s="88">
        <f t="shared" ca="1" si="106"/>
        <v>0</v>
      </c>
      <c r="AA211" s="88">
        <f t="shared" ca="1" si="106"/>
        <v>0</v>
      </c>
      <c r="AB211" s="88">
        <f t="shared" ca="1" si="106"/>
        <v>0</v>
      </c>
      <c r="AC211" s="237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60" customFormat="1" ht="13.15" hidden="1" x14ac:dyDescent="0.25">
      <c r="A212" s="202"/>
      <c r="B212" s="56"/>
      <c r="C212" s="15" t="s">
        <v>1300</v>
      </c>
      <c r="D212" s="15"/>
      <c r="E212" s="56"/>
      <c r="F212" s="56"/>
      <c r="G212" s="56"/>
      <c r="H212" s="56"/>
      <c r="I212" s="56"/>
      <c r="J212" s="56"/>
      <c r="K212" s="136"/>
      <c r="L212" s="56"/>
      <c r="M212" s="56"/>
      <c r="N212" s="56"/>
      <c r="O212" s="56"/>
      <c r="P212" s="56"/>
      <c r="Q212" s="56"/>
      <c r="R212" s="249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7"/>
      <c r="AD212" s="137"/>
    </row>
    <row r="213" spans="1:30" ht="13.15" hidden="1" x14ac:dyDescent="0.25">
      <c r="A213" s="114" t="str">
        <f>IF(C213="","",MAX(A$207:A211)+1)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si="107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8">IF(E213="",1,E213)*IF(F213="",1,F213)*IF(G213="",1,G213)*IF(H213="",1,H213)*IF(I213="",1,I213)</f>
        <v>1</v>
      </c>
      <c r="P213" s="42"/>
      <c r="Q213" s="1" t="str">
        <f>IF(OR(AND(ISERROR(VLOOKUP($C213,Таблица!$B$409:$E$418,2,FALSE)),$C213&lt;&gt;""),P213&lt;&gt;""),"√","")</f>
        <v/>
      </c>
      <c r="R213" s="254">
        <f>IFERROR(ROUND(K213*IF(P213="",N213*O213,P213*O213),2),0)</f>
        <v>0</v>
      </c>
      <c r="S213" s="62">
        <f t="shared" ref="S213:W214" ca="1" si="109">ROUND(N($R213)/(1+$AD213)*(1+$AD213-3%)*S$206%*(1+$K$224),2)</f>
        <v>0</v>
      </c>
      <c r="T213" s="62">
        <f t="shared" ca="1" si="109"/>
        <v>0</v>
      </c>
      <c r="U213" s="84">
        <f t="shared" ca="1" si="109"/>
        <v>0</v>
      </c>
      <c r="V213" s="84">
        <f t="shared" ca="1" si="109"/>
        <v>0</v>
      </c>
      <c r="W213" s="84">
        <f t="shared" ca="1" si="109"/>
        <v>0</v>
      </c>
      <c r="X213" s="88">
        <f t="shared" ref="X213:AB214" ca="1" si="110">IF($R213="",0,ROUND($R213*X$206/(1+$AD213)*(1+$K$224),2))</f>
        <v>0</v>
      </c>
      <c r="Y213" s="88">
        <f t="shared" ca="1" si="110"/>
        <v>0</v>
      </c>
      <c r="Z213" s="88">
        <f t="shared" ca="1" si="110"/>
        <v>0</v>
      </c>
      <c r="AA213" s="88">
        <f t="shared" ca="1" si="110"/>
        <v>0</v>
      </c>
      <c r="AB213" s="88">
        <f t="shared" ca="1" si="110"/>
        <v>0</v>
      </c>
      <c r="AC213" s="237">
        <f t="shared" ref="AC213:AC214" si="111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ht="13.15" hidden="1" x14ac:dyDescent="0.25">
      <c r="A214" s="114" t="str">
        <f>IF(C214="","",MAX(A$207:A213)+1)</f>
        <v/>
      </c>
      <c r="B214" s="56" t="str">
        <f>IFERROR(VLOOKUP($C214,Таблица!$B$367:$E$385,2,FALSE),"")</f>
        <v/>
      </c>
      <c r="C214" s="31"/>
      <c r="D214" s="48"/>
      <c r="E214" s="1"/>
      <c r="F214" s="1"/>
      <c r="G214" s="50"/>
      <c r="H214" s="1"/>
      <c r="I214" s="1"/>
      <c r="J214" s="56" t="str">
        <f t="shared" si="107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8"/>
        <v>1</v>
      </c>
      <c r="P214" s="51"/>
      <c r="Q214" s="1" t="str">
        <f>IF(OR(AND(ISERROR(VLOOKUP($C214,Таблица!$B$409:$E$418,2,FALSE)),$C214&lt;&gt;""),P214&lt;&gt;""),"√","")</f>
        <v/>
      </c>
      <c r="R214" s="254">
        <f>IFERROR(ROUND(K214*IF(P214="",N214*O214,P214*O214),2),0)</f>
        <v>0</v>
      </c>
      <c r="S214" s="62">
        <f t="shared" ca="1" si="109"/>
        <v>0</v>
      </c>
      <c r="T214" s="62">
        <f t="shared" ca="1" si="109"/>
        <v>0</v>
      </c>
      <c r="U214" s="84">
        <f t="shared" ca="1" si="109"/>
        <v>0</v>
      </c>
      <c r="V214" s="84">
        <f t="shared" ca="1" si="109"/>
        <v>0</v>
      </c>
      <c r="W214" s="84">
        <f t="shared" ca="1" si="109"/>
        <v>0</v>
      </c>
      <c r="X214" s="88">
        <f t="shared" ca="1" si="110"/>
        <v>0</v>
      </c>
      <c r="Y214" s="88">
        <f t="shared" ca="1" si="110"/>
        <v>0</v>
      </c>
      <c r="Z214" s="88">
        <f t="shared" ca="1" si="110"/>
        <v>0</v>
      </c>
      <c r="AA214" s="88">
        <f t="shared" ca="1" si="110"/>
        <v>0</v>
      </c>
      <c r="AB214" s="88">
        <f t="shared" ca="1" si="110"/>
        <v>0</v>
      </c>
      <c r="AC214" s="237">
        <f t="shared" si="111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60" customFormat="1" ht="14.25" hidden="1" customHeight="1" x14ac:dyDescent="0.25">
      <c r="A215" s="114"/>
      <c r="B215" s="56"/>
      <c r="C215" s="15" t="s">
        <v>1301</v>
      </c>
      <c r="D215" s="15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249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7"/>
      <c r="AD215" s="137"/>
    </row>
    <row r="216" spans="1:30" s="60" customFormat="1" ht="13.15" hidden="1" x14ac:dyDescent="0.25">
      <c r="A216" s="114"/>
      <c r="B216" s="56" t="str">
        <f>IFERROR(VLOOKUP($C216,Таблица!$B$388:$E$406,2,FALSE),"")</f>
        <v/>
      </c>
      <c r="C216" s="48"/>
      <c r="D216" s="48"/>
      <c r="E216" s="56"/>
      <c r="F216" s="56"/>
      <c r="G216" s="50"/>
      <c r="H216" s="56"/>
      <c r="I216" s="56"/>
      <c r="J216" s="56" t="str">
        <f>IF($C216="","","шт")</f>
        <v/>
      </c>
      <c r="K216" s="64"/>
      <c r="L216" s="56">
        <f>IFERROR(VLOOKUP($C216,Таблица!$B$388:$K$406,3,FALSE),0)</f>
        <v>0</v>
      </c>
      <c r="M216" s="56" t="str">
        <f>IFERROR(VLOOKUP($C216,Таблица!$B$388:$F$406,5,FALSE),"")</f>
        <v/>
      </c>
      <c r="N216" s="56" t="str">
        <f>IFERROR(VLOOKUP($C216,Таблица!$B$388:$E$406,4,FALSE),"")</f>
        <v/>
      </c>
      <c r="O216" s="56">
        <f t="shared" ref="O216" si="112">IF(E216="",1,E216)*IF(F216="",1,F216)*IF(G216="",1,G216)*IF(H216="",1,H216)*IF(I216="",1,I216)</f>
        <v>1</v>
      </c>
      <c r="P216" s="51"/>
      <c r="Q216" s="56" t="str">
        <f>IF(OR(AND(ISERROR(VLOOKUP($C216,Таблица!$B$388:$E$406,2,FALSE)),$C216&lt;&gt;""),P216&lt;&gt;""),"√","")</f>
        <v/>
      </c>
      <c r="R216" s="254">
        <f>IFERROR(ROUND(K216*IF(P216="",N216*O216,P216*O216),2),0)</f>
        <v>0</v>
      </c>
      <c r="S216" s="62">
        <f t="shared" ref="S216:W217" ca="1" si="113">ROUND(N($R216)/(1+$AD216)*(1+$AD216-3%)*S$206%*(1+$K$224),2)</f>
        <v>0</v>
      </c>
      <c r="T216" s="62">
        <f t="shared" ca="1" si="113"/>
        <v>0</v>
      </c>
      <c r="U216" s="84">
        <f t="shared" ca="1" si="113"/>
        <v>0</v>
      </c>
      <c r="V216" s="84">
        <f t="shared" ca="1" si="113"/>
        <v>0</v>
      </c>
      <c r="W216" s="84">
        <f t="shared" ca="1" si="113"/>
        <v>0</v>
      </c>
      <c r="X216" s="88">
        <f t="shared" ref="X216:AB217" ca="1" si="114">IF($R216="",0,ROUND($R216*X$206/(1+$AD216)*(1+$K$224),2))</f>
        <v>0</v>
      </c>
      <c r="Y216" s="88">
        <f t="shared" ca="1" si="114"/>
        <v>0</v>
      </c>
      <c r="Z216" s="88">
        <f t="shared" ca="1" si="114"/>
        <v>0</v>
      </c>
      <c r="AA216" s="88">
        <f t="shared" ca="1" si="114"/>
        <v>0</v>
      </c>
      <c r="AB216" s="88">
        <f t="shared" ca="1" si="114"/>
        <v>0</v>
      </c>
      <c r="AC216" s="237">
        <f t="shared" ref="AC216:AC217" si="115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60" customFormat="1" ht="13.15" hidden="1" x14ac:dyDescent="0.25">
      <c r="A217" s="114"/>
      <c r="B217" s="56" t="str">
        <f>IFERROR(VLOOKUP($C217,Таблица!$B$388:$E$406,2,FALSE),"")</f>
        <v/>
      </c>
      <c r="C217" s="48"/>
      <c r="D217" s="48"/>
      <c r="E217" s="56"/>
      <c r="F217" s="56"/>
      <c r="G217" s="50"/>
      <c r="H217" s="56"/>
      <c r="I217" s="56"/>
      <c r="J217" s="56" t="str">
        <f t="shared" ref="J217:J220" si="116">IF($C217="","","шт")</f>
        <v/>
      </c>
      <c r="K217" s="64"/>
      <c r="L217" s="56">
        <f>IFERROR(VLOOKUP($C217,Таблица!$B$388:$K$406,3,FALSE),0)</f>
        <v>0</v>
      </c>
      <c r="M217" s="56" t="str">
        <f>IFERROR(VLOOKUP($C217,Таблица!$B$388:$F$406,5,FALSE),"")</f>
        <v/>
      </c>
      <c r="N217" s="56" t="str">
        <f>IFERROR(VLOOKUP($C217,Таблица!$B$388:$E$406,4,FALSE),"")</f>
        <v/>
      </c>
      <c r="O217" s="56">
        <v>1</v>
      </c>
      <c r="P217" s="51"/>
      <c r="Q217" s="56" t="str">
        <f>IF(OR(AND(ISERROR(VLOOKUP($C217,Таблица!$B$388:$E$406,2,FALSE)),$C217&lt;&gt;""),P217&lt;&gt;""),"√","")</f>
        <v/>
      </c>
      <c r="R217" s="254">
        <f>IFERROR(ROUND(K217*IF(P217="",N217*O217,P217*O217),2),0)</f>
        <v>0</v>
      </c>
      <c r="S217" s="62">
        <f t="shared" ca="1" si="113"/>
        <v>0</v>
      </c>
      <c r="T217" s="62">
        <f t="shared" ca="1" si="113"/>
        <v>0</v>
      </c>
      <c r="U217" s="84">
        <f t="shared" ca="1" si="113"/>
        <v>0</v>
      </c>
      <c r="V217" s="84">
        <f t="shared" ca="1" si="113"/>
        <v>0</v>
      </c>
      <c r="W217" s="84">
        <f t="shared" ca="1" si="113"/>
        <v>0</v>
      </c>
      <c r="X217" s="88">
        <f t="shared" ca="1" si="114"/>
        <v>0</v>
      </c>
      <c r="Y217" s="88">
        <f t="shared" ca="1" si="114"/>
        <v>0</v>
      </c>
      <c r="Z217" s="88">
        <f t="shared" ca="1" si="114"/>
        <v>0</v>
      </c>
      <c r="AA217" s="88">
        <f t="shared" ca="1" si="114"/>
        <v>0</v>
      </c>
      <c r="AB217" s="88">
        <f t="shared" ca="1" si="114"/>
        <v>0</v>
      </c>
      <c r="AC217" s="237">
        <f t="shared" si="115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60" customFormat="1" ht="14.25" hidden="1" customHeight="1" x14ac:dyDescent="0.25">
      <c r="A218" s="202"/>
      <c r="B218" s="56"/>
      <c r="C218" s="15" t="s">
        <v>1302</v>
      </c>
      <c r="D218" s="15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249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7"/>
      <c r="AD218" s="137"/>
    </row>
    <row r="219" spans="1:30" s="60" customFormat="1" ht="13.15" hidden="1" x14ac:dyDescent="0.25">
      <c r="A219" s="114"/>
      <c r="B219" s="56" t="str">
        <f>IFERROR(VLOOKUP($C219,Таблица!$B$421:$E$430,2,FALSE),"")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si="116"/>
        <v/>
      </c>
      <c r="K219" s="64"/>
      <c r="L219" s="56">
        <f>IFERROR(VLOOKUP($C219,Таблица!$B$421:$K$430,3,FALSE),0)</f>
        <v>0</v>
      </c>
      <c r="M219" s="56" t="str">
        <f>IFERROR(VLOOKUP($C219,Таблица!$B$421:$F$430,5,FALSE),"")</f>
        <v/>
      </c>
      <c r="N219" s="56" t="str">
        <f>IFERROR(VLOOKUP($C219,Таблица!$B$421:$E$430,4,FALSE),"")</f>
        <v/>
      </c>
      <c r="O219" s="56">
        <f t="shared" ref="O219:O220" si="117">IF(E219="",1,E219)*IF(F219="",1,F219)*IF(G219="",1,G219)*IF(H219="",1,H219)*IF(I219="",1,I219)</f>
        <v>1</v>
      </c>
      <c r="P219" s="51"/>
      <c r="Q219" s="56" t="str">
        <f>IF(OR(AND(ISERROR(VLOOKUP($C219,Таблица!$B421:$E$430,2,FALSE)),$C219&lt;&gt;""),P219&lt;&gt;""),"√","")</f>
        <v/>
      </c>
      <c r="R219" s="254">
        <f>IFERROR(ROUND(K219*IF(P219="",N219*O219,P219*O219),2),0)</f>
        <v>0</v>
      </c>
      <c r="S219" s="62">
        <f t="shared" ref="S219:W220" ca="1" si="118">ROUND(N($R219)/(1+$AD219)*(1+$AD219-3%)*S$206%*(1+$K$224),2)</f>
        <v>0</v>
      </c>
      <c r="T219" s="62">
        <f t="shared" ca="1" si="118"/>
        <v>0</v>
      </c>
      <c r="U219" s="84">
        <f t="shared" ca="1" si="118"/>
        <v>0</v>
      </c>
      <c r="V219" s="84">
        <f t="shared" ca="1" si="118"/>
        <v>0</v>
      </c>
      <c r="W219" s="84">
        <f t="shared" ca="1" si="118"/>
        <v>0</v>
      </c>
      <c r="X219" s="88">
        <f t="shared" ref="X219:AB220" ca="1" si="119">IF($R219="",0,ROUND($R219*X$206/(1+$AD219)*(1+$K$224),2))</f>
        <v>0</v>
      </c>
      <c r="Y219" s="88">
        <f t="shared" ca="1" si="119"/>
        <v>0</v>
      </c>
      <c r="Z219" s="88">
        <f t="shared" ca="1" si="119"/>
        <v>0</v>
      </c>
      <c r="AA219" s="88">
        <f t="shared" ca="1" si="119"/>
        <v>0</v>
      </c>
      <c r="AB219" s="88">
        <f t="shared" ca="1" si="119"/>
        <v>0</v>
      </c>
      <c r="AC219" s="237">
        <f t="shared" ref="AC219:AC220" si="120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60" customFormat="1" ht="13.15" hidden="1" x14ac:dyDescent="0.25">
      <c r="A220" s="114"/>
      <c r="B220" s="56" t="str">
        <f>IFERROR(VLOOKUP($C220,Таблица!$B$421:$E$430,2,FALSE),"")</f>
        <v/>
      </c>
      <c r="C220" s="48"/>
      <c r="D220" s="48"/>
      <c r="E220" s="56"/>
      <c r="F220" s="56"/>
      <c r="G220" s="50"/>
      <c r="H220" s="56"/>
      <c r="I220" s="56"/>
      <c r="J220" s="56" t="str">
        <f t="shared" si="116"/>
        <v/>
      </c>
      <c r="K220" s="64"/>
      <c r="L220" s="56">
        <f>IFERROR(VLOOKUP($C220,Таблица!$B$421:$K$430,3,FALSE),0)</f>
        <v>0</v>
      </c>
      <c r="M220" s="56" t="str">
        <f>IFERROR(VLOOKUP($C220,Таблица!$B$421:$F$430,5,FALSE),"")</f>
        <v/>
      </c>
      <c r="N220" s="56" t="str">
        <f>IFERROR(VLOOKUP($C220,Таблица!$B$421:$E$430,4,FALSE),"")</f>
        <v/>
      </c>
      <c r="O220" s="56">
        <f t="shared" si="117"/>
        <v>1</v>
      </c>
      <c r="P220" s="51"/>
      <c r="Q220" s="56" t="str">
        <f>IF(OR(AND(ISERROR(VLOOKUP($C220,Таблица!$B421:$E$430,2,FALSE)),$C220&lt;&gt;""),P220&lt;&gt;""),"√","")</f>
        <v/>
      </c>
      <c r="R220" s="254">
        <f>IFERROR(ROUND(K220*IF(P220="",N220*O220,P220*O220),2),0)</f>
        <v>0</v>
      </c>
      <c r="S220" s="62">
        <f t="shared" ca="1" si="118"/>
        <v>0</v>
      </c>
      <c r="T220" s="62">
        <f t="shared" ca="1" si="118"/>
        <v>0</v>
      </c>
      <c r="U220" s="84">
        <f t="shared" ca="1" si="118"/>
        <v>0</v>
      </c>
      <c r="V220" s="84">
        <f t="shared" ca="1" si="118"/>
        <v>0</v>
      </c>
      <c r="W220" s="84">
        <f t="shared" ca="1" si="118"/>
        <v>0</v>
      </c>
      <c r="X220" s="88">
        <f t="shared" ca="1" si="119"/>
        <v>0</v>
      </c>
      <c r="Y220" s="88">
        <f t="shared" ca="1" si="119"/>
        <v>0</v>
      </c>
      <c r="Z220" s="88">
        <f t="shared" ca="1" si="119"/>
        <v>0</v>
      </c>
      <c r="AA220" s="88">
        <f t="shared" ca="1" si="119"/>
        <v>0</v>
      </c>
      <c r="AB220" s="88">
        <f t="shared" ca="1" si="119"/>
        <v>0</v>
      </c>
      <c r="AC220" s="237">
        <f t="shared" si="120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3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4">
        <f t="shared" ref="R221:R223" si="121">IFERROR(ROUND(K221*IF(P221="",N221*O221,P221*O221),2),0)</f>
        <v>0</v>
      </c>
      <c r="S221" s="87">
        <f>SUMIF($M$210:$M$220,"&lt;10",S$210:S$220)</f>
        <v>0</v>
      </c>
      <c r="T221" s="87">
        <f t="shared" ref="T221:AB221" si="122">SUMIF($M$210:$M$220,"&lt;10",T$210:T$220)</f>
        <v>0</v>
      </c>
      <c r="U221" s="87">
        <f t="shared" si="122"/>
        <v>0</v>
      </c>
      <c r="V221" s="87">
        <f t="shared" si="122"/>
        <v>0</v>
      </c>
      <c r="W221" s="87">
        <f t="shared" si="122"/>
        <v>0</v>
      </c>
      <c r="X221" s="100">
        <f t="shared" si="122"/>
        <v>0</v>
      </c>
      <c r="Y221" s="100">
        <f t="shared" si="122"/>
        <v>0</v>
      </c>
      <c r="Z221" s="100">
        <f t="shared" si="122"/>
        <v>0</v>
      </c>
      <c r="AA221" s="100">
        <f t="shared" si="122"/>
        <v>0</v>
      </c>
      <c r="AB221" s="100">
        <f t="shared" si="122"/>
        <v>0</v>
      </c>
    </row>
    <row r="222" spans="1:30" s="68" customFormat="1" hidden="1" x14ac:dyDescent="0.2">
      <c r="A222" s="133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4">
        <f t="shared" si="121"/>
        <v>0</v>
      </c>
      <c r="S222" s="87">
        <f>SUMIF($M$210:$M$220,"&lt;=35",S$210:S$220)-S221</f>
        <v>0</v>
      </c>
      <c r="T222" s="87">
        <f t="shared" ref="T222:AB222" si="123">SUMIF($M$210:$M$220,"&lt;=35",T$210:T$220)-T221</f>
        <v>0</v>
      </c>
      <c r="U222" s="87">
        <f t="shared" si="123"/>
        <v>0</v>
      </c>
      <c r="V222" s="87">
        <f t="shared" si="123"/>
        <v>0</v>
      </c>
      <c r="W222" s="87">
        <f t="shared" si="123"/>
        <v>0</v>
      </c>
      <c r="X222" s="100">
        <f t="shared" si="123"/>
        <v>0</v>
      </c>
      <c r="Y222" s="100">
        <f t="shared" si="123"/>
        <v>0</v>
      </c>
      <c r="Z222" s="100">
        <f t="shared" si="123"/>
        <v>0</v>
      </c>
      <c r="AA222" s="100">
        <f t="shared" si="123"/>
        <v>0</v>
      </c>
      <c r="AB222" s="100">
        <f t="shared" si="123"/>
        <v>0</v>
      </c>
    </row>
    <row r="223" spans="1:30" s="68" customFormat="1" hidden="1" x14ac:dyDescent="0.2">
      <c r="A223" s="133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4">
        <f t="shared" si="121"/>
        <v>0</v>
      </c>
      <c r="S223" s="87">
        <f>SUMIF($M$210:$M$220,"&gt;=110",S$210:S$220)</f>
        <v>0</v>
      </c>
      <c r="T223" s="87">
        <f t="shared" ref="T223:AB223" si="124">SUMIF($M$210:$M$220,"&gt;=110",T$210:T$220)</f>
        <v>0</v>
      </c>
      <c r="U223" s="87">
        <f t="shared" si="124"/>
        <v>0</v>
      </c>
      <c r="V223" s="87">
        <f t="shared" si="124"/>
        <v>0</v>
      </c>
      <c r="W223" s="87">
        <f t="shared" si="124"/>
        <v>0</v>
      </c>
      <c r="X223" s="100">
        <f t="shared" si="124"/>
        <v>0</v>
      </c>
      <c r="Y223" s="100">
        <f t="shared" si="124"/>
        <v>0</v>
      </c>
      <c r="Z223" s="100">
        <f t="shared" si="124"/>
        <v>0</v>
      </c>
      <c r="AA223" s="100">
        <f t="shared" si="124"/>
        <v>0</v>
      </c>
      <c r="AB223" s="100">
        <f t="shared" si="124"/>
        <v>0</v>
      </c>
    </row>
    <row r="224" spans="1:30" ht="13.15" hidden="1" x14ac:dyDescent="0.25">
      <c r="A224" s="114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49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9" hidden="1" x14ac:dyDescent="0.3">
      <c r="A225" s="114"/>
      <c r="B225" s="1"/>
      <c r="C225" s="24" t="s">
        <v>1190</v>
      </c>
      <c r="D225" s="606" t="str">
        <f>IF(R293,IF(SUM(R210:R214,R216:R220),"","Тип подстанции: "),"")</f>
        <v/>
      </c>
      <c r="E225" s="607"/>
      <c r="F225" s="608"/>
      <c r="G225" s="50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9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60" customFormat="1" ht="13.15" hidden="1" x14ac:dyDescent="0.25">
      <c r="A226" s="197"/>
      <c r="B226" s="56"/>
      <c r="C226" s="198"/>
      <c r="D226" s="15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249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7"/>
      <c r="AD226" s="89"/>
    </row>
    <row r="227" spans="1:32" s="60" customFormat="1" ht="13.15" hidden="1" x14ac:dyDescent="0.25">
      <c r="A227" s="197" t="str">
        <f>IF(C227="","",MAX(A$207:A226)+1)</f>
        <v/>
      </c>
      <c r="B227" s="56" t="str">
        <f>IFERROR(VLOOKUP($C227,Таблица!$B$694:$F$697,2,FALSE),"")</f>
        <v/>
      </c>
      <c r="C227" s="48"/>
      <c r="D227" s="48"/>
      <c r="E227" s="56"/>
      <c r="F227" s="56"/>
      <c r="G227" s="50"/>
      <c r="H227" s="56"/>
      <c r="I227" s="56"/>
      <c r="J227" s="56" t="str">
        <f>IF($C227="","","кв. м")</f>
        <v/>
      </c>
      <c r="K227" s="64"/>
      <c r="L227" s="56">
        <f>IFERROR(VLOOKUP($C227,Таблица!$B$694:$F$697,3,FALSE),0)</f>
        <v>0</v>
      </c>
      <c r="M227" s="56" t="str">
        <f>IFERROR(VLOOKUP($C227,Таблица!$B$694:$F$697,5,FALSE),"")</f>
        <v/>
      </c>
      <c r="N227" s="56" t="str">
        <f>IF($C227="","",16)</f>
        <v/>
      </c>
      <c r="O227" s="56">
        <f>IF(E227="",1,E227)*IF(F227="",1,F227)*IF(G227="",1,G227)*IF(H227="",1,H227)*IF(I227="",1,I227)</f>
        <v>1</v>
      </c>
      <c r="P227" s="51"/>
      <c r="Q227" s="56" t="str">
        <f>IF(AND($C227&lt;&gt;"",P227&lt;&gt;""),"√","")</f>
        <v/>
      </c>
      <c r="R227" s="249">
        <f>IFERROR(ROUND(K227*IF(P227="",N227*O227,P227*O227),2),0)</f>
        <v>0</v>
      </c>
      <c r="S227" s="62">
        <f ca="1">ROUND($AC227*S$206%,2)</f>
        <v>0</v>
      </c>
      <c r="T227" s="97">
        <f t="shared" ref="T227:W230" ca="1" si="125">ROUND($AC227*T$206%,2)</f>
        <v>0</v>
      </c>
      <c r="U227" s="84">
        <f t="shared" ca="1" si="125"/>
        <v>0</v>
      </c>
      <c r="V227" s="84">
        <f t="shared" ca="1" si="125"/>
        <v>0</v>
      </c>
      <c r="W227" s="84">
        <f t="shared" ca="1" si="125"/>
        <v>0</v>
      </c>
      <c r="X227" s="88">
        <f t="shared" ref="X227:AB230" ca="1" si="126">IF($R227="",0,ROUND($R227*X$206*(1+$K$236),2))</f>
        <v>0</v>
      </c>
      <c r="Y227" s="88">
        <f t="shared" ca="1" si="126"/>
        <v>0</v>
      </c>
      <c r="Z227" s="88">
        <f t="shared" ca="1" si="126"/>
        <v>0</v>
      </c>
      <c r="AA227" s="88">
        <f t="shared" ca="1" si="126"/>
        <v>0</v>
      </c>
      <c r="AB227" s="88">
        <f t="shared" ca="1" si="126"/>
        <v>0</v>
      </c>
      <c r="AC227" s="139">
        <f ca="1">IFERROR(ROUND(R227*(1+$K$236),2)+SUM(X227:AB227),0)</f>
        <v>0</v>
      </c>
      <c r="AD227" s="89"/>
      <c r="AE227" s="85"/>
      <c r="AF227" s="85"/>
    </row>
    <row r="228" spans="1:32" s="60" customFormat="1" ht="13.15" hidden="1" x14ac:dyDescent="0.25">
      <c r="A228" s="197" t="str">
        <f>IF(C228="","",MAX(A$207:A227)+1)</f>
        <v/>
      </c>
      <c r="B228" s="56" t="str">
        <f>IFERROR(VLOOKUP($C228,Таблица!$B$694:$F$697,2,FALSE),"")</f>
        <v/>
      </c>
      <c r="C228" s="48"/>
      <c r="D228" s="48"/>
      <c r="E228" s="56"/>
      <c r="F228" s="56"/>
      <c r="G228" s="50"/>
      <c r="H228" s="56"/>
      <c r="I228" s="56"/>
      <c r="J228" s="56" t="str">
        <f t="shared" ref="J228:J230" si="127">IF($C228="","","кв. м")</f>
        <v/>
      </c>
      <c r="K228" s="64"/>
      <c r="L228" s="56">
        <f>IFERROR(VLOOKUP($C228,Таблица!$B$694:$F$697,3,FALSE),0)</f>
        <v>0</v>
      </c>
      <c r="M228" s="56" t="str">
        <f>IFERROR(VLOOKUP($C228,Таблица!$B$694:$F$697,5,FALSE),"")</f>
        <v/>
      </c>
      <c r="N228" s="56" t="str">
        <f t="shared" ref="N228:N230" si="128">IF($C228="","",16)</f>
        <v/>
      </c>
      <c r="O228" s="56">
        <f>IF(E228="",1,E228)*IF(F228="",1,F228)*IF(G228="",1,G228)*IF(H228="",1,H228)*IF(I228="",1,I228)</f>
        <v>1</v>
      </c>
      <c r="P228" s="51"/>
      <c r="Q228" s="56" t="str">
        <f t="shared" ref="Q228:Q230" si="129">IF(AND($C228&lt;&gt;"",P228&lt;&gt;""),"√","")</f>
        <v/>
      </c>
      <c r="R228" s="249">
        <f t="shared" ref="R228:R230" si="130">IFERROR(ROUND(K228*IF(P228="",N228*O228,P228*O228),2),0)</f>
        <v>0</v>
      </c>
      <c r="S228" s="62">
        <f t="shared" ref="S228:S230" ca="1" si="131">ROUND($AC228*S$206%,2)</f>
        <v>0</v>
      </c>
      <c r="T228" s="97">
        <f t="shared" ca="1" si="125"/>
        <v>0</v>
      </c>
      <c r="U228" s="84">
        <f t="shared" ca="1" si="125"/>
        <v>0</v>
      </c>
      <c r="V228" s="84">
        <f t="shared" ca="1" si="125"/>
        <v>0</v>
      </c>
      <c r="W228" s="84">
        <f t="shared" ca="1" si="125"/>
        <v>0</v>
      </c>
      <c r="X228" s="88">
        <f t="shared" ca="1" si="126"/>
        <v>0</v>
      </c>
      <c r="Y228" s="88">
        <f t="shared" ca="1" si="126"/>
        <v>0</v>
      </c>
      <c r="Z228" s="88">
        <f t="shared" ca="1" si="126"/>
        <v>0</v>
      </c>
      <c r="AA228" s="88">
        <f t="shared" ca="1" si="126"/>
        <v>0</v>
      </c>
      <c r="AB228" s="88">
        <f t="shared" ca="1" si="126"/>
        <v>0</v>
      </c>
      <c r="AC228" s="139">
        <f t="shared" ref="AC228:AC230" ca="1" si="132">IFERROR(ROUND(R228*(1+$K$236),2)+SUM(X228:AB228),0)</f>
        <v>0</v>
      </c>
      <c r="AD228" s="89"/>
      <c r="AE228" s="85"/>
      <c r="AF228" s="85"/>
    </row>
    <row r="229" spans="1:32" s="60" customFormat="1" ht="13.15" hidden="1" x14ac:dyDescent="0.25">
      <c r="A229" s="197" t="str">
        <f>IF(C229="","",MAX(A$207:A228)+1)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 t="shared" si="127"/>
        <v/>
      </c>
      <c r="K229" s="64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 t="shared" si="128"/>
        <v/>
      </c>
      <c r="O229" s="56">
        <f>IF(E229="",1,E229)*IF(F229="",1,F229)*IF(G229="",1,G229)*IF(H229="",1,H229)*IF(I229="",1,I229)</f>
        <v>1</v>
      </c>
      <c r="P229" s="51"/>
      <c r="Q229" s="56" t="str">
        <f t="shared" si="129"/>
        <v/>
      </c>
      <c r="R229" s="249">
        <f t="shared" si="130"/>
        <v>0</v>
      </c>
      <c r="S229" s="62">
        <f t="shared" ca="1" si="131"/>
        <v>0</v>
      </c>
      <c r="T229" s="97">
        <f t="shared" ca="1" si="125"/>
        <v>0</v>
      </c>
      <c r="U229" s="84">
        <f t="shared" ca="1" si="125"/>
        <v>0</v>
      </c>
      <c r="V229" s="84">
        <f t="shared" ca="1" si="125"/>
        <v>0</v>
      </c>
      <c r="W229" s="84">
        <f t="shared" ca="1" si="125"/>
        <v>0</v>
      </c>
      <c r="X229" s="88">
        <f t="shared" ca="1" si="126"/>
        <v>0</v>
      </c>
      <c r="Y229" s="88">
        <f t="shared" ca="1" si="126"/>
        <v>0</v>
      </c>
      <c r="Z229" s="88">
        <f t="shared" ca="1" si="126"/>
        <v>0</v>
      </c>
      <c r="AA229" s="88">
        <f t="shared" ca="1" si="126"/>
        <v>0</v>
      </c>
      <c r="AB229" s="88">
        <f t="shared" ca="1" si="126"/>
        <v>0</v>
      </c>
      <c r="AC229" s="139">
        <f t="shared" ca="1" si="132"/>
        <v>0</v>
      </c>
      <c r="AD229" s="89"/>
      <c r="AE229" s="85"/>
      <c r="AF229" s="85"/>
    </row>
    <row r="230" spans="1:32" s="60" customFormat="1" ht="13.15" hidden="1" x14ac:dyDescent="0.25">
      <c r="A230" s="197" t="str">
        <f>IF(C230="","",MAX(A$207:A229)+1)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199"/>
      <c r="H230" s="56"/>
      <c r="I230" s="56"/>
      <c r="J230" s="56" t="str">
        <f t="shared" si="127"/>
        <v/>
      </c>
      <c r="K230" s="64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si="128"/>
        <v/>
      </c>
      <c r="O230" s="56">
        <f>IF(E230="",1,E230)*IF(F230="",1,F230)*IF(G230="",1,G230)*IF(H230="",1,H230)*IF(I230="",1,I230)</f>
        <v>1</v>
      </c>
      <c r="P230" s="51"/>
      <c r="Q230" s="56" t="str">
        <f t="shared" si="129"/>
        <v/>
      </c>
      <c r="R230" s="249">
        <f t="shared" si="130"/>
        <v>0</v>
      </c>
      <c r="S230" s="62">
        <f t="shared" ca="1" si="131"/>
        <v>0</v>
      </c>
      <c r="T230" s="97">
        <f t="shared" ca="1" si="125"/>
        <v>0</v>
      </c>
      <c r="U230" s="84">
        <f t="shared" ca="1" si="125"/>
        <v>0</v>
      </c>
      <c r="V230" s="84">
        <f t="shared" ca="1" si="125"/>
        <v>0</v>
      </c>
      <c r="W230" s="84">
        <f t="shared" ca="1" si="125"/>
        <v>0</v>
      </c>
      <c r="X230" s="88">
        <f t="shared" ca="1" si="126"/>
        <v>0</v>
      </c>
      <c r="Y230" s="88">
        <f t="shared" ca="1" si="126"/>
        <v>0</v>
      </c>
      <c r="Z230" s="88">
        <f t="shared" ca="1" si="126"/>
        <v>0</v>
      </c>
      <c r="AA230" s="88">
        <f t="shared" ca="1" si="126"/>
        <v>0</v>
      </c>
      <c r="AB230" s="88">
        <f t="shared" ca="1" si="126"/>
        <v>0</v>
      </c>
      <c r="AC230" s="139">
        <f t="shared" ca="1" si="132"/>
        <v>0</v>
      </c>
      <c r="AD230" s="89"/>
      <c r="AE230" s="85"/>
      <c r="AF230" s="85"/>
    </row>
    <row r="231" spans="1:32" ht="13.15" hidden="1" x14ac:dyDescent="0.25">
      <c r="A231" s="114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9">
        <v>0</v>
      </c>
      <c r="S231" s="101"/>
      <c r="T231" s="101"/>
      <c r="U231" s="86"/>
      <c r="V231" s="86"/>
      <c r="W231" s="86"/>
    </row>
    <row r="232" spans="1:32" ht="13.15" hidden="1" x14ac:dyDescent="0.25">
      <c r="A232" s="114" t="str">
        <f>IF(C232="","",MAX(A$207:A231)+1)</f>
        <v/>
      </c>
      <c r="B232" s="1" t="str">
        <f>IFERROR(VLOOKUP($C232,Таблица!$B$433:$E$442,2,FALSE),"")</f>
        <v/>
      </c>
      <c r="C232" s="31"/>
      <c r="D232" s="31"/>
      <c r="E232" s="1"/>
      <c r="F232" s="1"/>
      <c r="G232" s="32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2"/>
      <c r="Q232" s="1" t="str">
        <f>IF(OR(AND(ISERROR(VLOOKUP($C232,Таблица!$B$433:$E$442,2,FALSE)),$C232&lt;&gt;""),P232&lt;&gt;""),"√","")</f>
        <v/>
      </c>
      <c r="R232" s="249">
        <f>IFERROR(ROUND(K232*IF(P232="",N232*O232,P232*O232),2),0)</f>
        <v>0</v>
      </c>
      <c r="S232" s="97">
        <f t="shared" ref="S232:W235" ca="1" si="133">ROUND($AC232*S$206%,2)</f>
        <v>0</v>
      </c>
      <c r="T232" s="97">
        <f t="shared" ca="1" si="133"/>
        <v>0</v>
      </c>
      <c r="U232" s="84">
        <f t="shared" ca="1" si="133"/>
        <v>0</v>
      </c>
      <c r="V232" s="84">
        <f t="shared" ca="1" si="133"/>
        <v>0</v>
      </c>
      <c r="W232" s="84">
        <f t="shared" ca="1" si="133"/>
        <v>0</v>
      </c>
      <c r="X232" s="88">
        <f t="shared" ref="X232:AB235" ca="1" si="134">IF($R232="",0,ROUND($R232*X$206*(1+$K$236),2))</f>
        <v>0</v>
      </c>
      <c r="Y232" s="88">
        <f t="shared" ca="1" si="134"/>
        <v>0</v>
      </c>
      <c r="Z232" s="88">
        <f t="shared" ca="1" si="134"/>
        <v>0</v>
      </c>
      <c r="AA232" s="88">
        <f t="shared" ca="1" si="134"/>
        <v>0</v>
      </c>
      <c r="AB232" s="88">
        <f t="shared" ca="1" si="134"/>
        <v>0</v>
      </c>
      <c r="AC232" s="139">
        <f ca="1">IFERROR(ROUND(R232*(1+$K$236),2)+SUM(X232:AB232),0)</f>
        <v>0</v>
      </c>
      <c r="AE232" s="85"/>
      <c r="AF232" s="85"/>
    </row>
    <row r="233" spans="1:32" ht="13.15" hidden="1" x14ac:dyDescent="0.25">
      <c r="A233" s="114" t="str">
        <f>IF(C233="","",MAX(A$207:A232)+1)</f>
        <v/>
      </c>
      <c r="B233" s="1" t="str">
        <f>IFERROR(VLOOKUP($C233,Таблица!$B$433:$E$442,2,FALSE),"")</f>
        <v/>
      </c>
      <c r="C233" s="31"/>
      <c r="D233" s="31"/>
      <c r="E233" s="1"/>
      <c r="F233" s="1"/>
      <c r="G233" s="32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2"/>
      <c r="Q233" s="1" t="str">
        <f>IF(OR(AND(ISERROR(VLOOKUP($C233,Таблица!$B$433:$E$442,2,FALSE)),$C233&lt;&gt;""),P233&lt;&gt;""),"√","")</f>
        <v/>
      </c>
      <c r="R233" s="249">
        <f t="shared" ref="R233:R235" si="135">IFERROR(ROUND(K233*IF(P233="",N233*O233,P233*O233),2),0)</f>
        <v>0</v>
      </c>
      <c r="S233" s="97">
        <f t="shared" ca="1" si="133"/>
        <v>0</v>
      </c>
      <c r="T233" s="97">
        <f t="shared" ca="1" si="133"/>
        <v>0</v>
      </c>
      <c r="U233" s="84">
        <f t="shared" ca="1" si="133"/>
        <v>0</v>
      </c>
      <c r="V233" s="84">
        <f t="shared" ca="1" si="133"/>
        <v>0</v>
      </c>
      <c r="W233" s="84">
        <f t="shared" ca="1" si="133"/>
        <v>0</v>
      </c>
      <c r="X233" s="88">
        <f t="shared" ca="1" si="134"/>
        <v>0</v>
      </c>
      <c r="Y233" s="88">
        <f t="shared" ca="1" si="134"/>
        <v>0</v>
      </c>
      <c r="Z233" s="88">
        <f t="shared" ca="1" si="134"/>
        <v>0</v>
      </c>
      <c r="AA233" s="88">
        <f t="shared" ca="1" si="134"/>
        <v>0</v>
      </c>
      <c r="AB233" s="88">
        <f t="shared" ca="1" si="134"/>
        <v>0</v>
      </c>
      <c r="AC233" s="139">
        <f t="shared" ref="AC233:AC235" ca="1" si="136">IFERROR(ROUND(R233*(1+$K$236),2)+SUM(X233:AB233),0)</f>
        <v>0</v>
      </c>
      <c r="AE233" s="85"/>
      <c r="AF233" s="85"/>
    </row>
    <row r="234" spans="1:32" ht="13.15" hidden="1" x14ac:dyDescent="0.25">
      <c r="A234" s="114" t="str">
        <f>IF(C234="","",MAX(A$207:A233)+1)</f>
        <v/>
      </c>
      <c r="B234" s="1" t="str">
        <f>IFERROR(VLOOKUP($C234,Таблица!$B$445:$E$450,2,FALSE),"")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IF(OR(AND(ISERROR(VLOOKUP($C234,Таблица!$B$445:$E$450,2,FALSE)),$C234&lt;&gt;""),P234&lt;&gt;""),"√","")</f>
        <v/>
      </c>
      <c r="R234" s="249">
        <f t="shared" si="135"/>
        <v>0</v>
      </c>
      <c r="S234" s="97">
        <f t="shared" ca="1" si="133"/>
        <v>0</v>
      </c>
      <c r="T234" s="97">
        <f t="shared" ca="1" si="133"/>
        <v>0</v>
      </c>
      <c r="U234" s="84">
        <f t="shared" ca="1" si="133"/>
        <v>0</v>
      </c>
      <c r="V234" s="84">
        <f t="shared" ca="1" si="133"/>
        <v>0</v>
      </c>
      <c r="W234" s="84">
        <f t="shared" ca="1" si="133"/>
        <v>0</v>
      </c>
      <c r="X234" s="88">
        <f t="shared" ca="1" si="134"/>
        <v>0</v>
      </c>
      <c r="Y234" s="88">
        <f t="shared" ca="1" si="134"/>
        <v>0</v>
      </c>
      <c r="Z234" s="88">
        <f t="shared" ca="1" si="134"/>
        <v>0</v>
      </c>
      <c r="AA234" s="88">
        <f t="shared" ca="1" si="134"/>
        <v>0</v>
      </c>
      <c r="AB234" s="88">
        <f t="shared" ca="1" si="134"/>
        <v>0</v>
      </c>
      <c r="AC234" s="139">
        <f t="shared" ca="1" si="136"/>
        <v>0</v>
      </c>
      <c r="AE234" s="85"/>
      <c r="AF234" s="85"/>
    </row>
    <row r="235" spans="1:32" ht="13.15" hidden="1" x14ac:dyDescent="0.25">
      <c r="A235" s="114" t="str">
        <f>IF(C235="","",MAX(A$207:A234)+1)</f>
        <v/>
      </c>
      <c r="B235" s="1" t="str">
        <f>IFERROR(VLOOKUP($C235,Таблица!$B$445:$E$450,2,FALSE),"")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IF(OR(AND(ISERROR(VLOOKUP($C235,Таблица!$B$445:$E$450,2,FALSE)),$C235&lt;&gt;""),P235&lt;&gt;""),"√","")</f>
        <v/>
      </c>
      <c r="R235" s="249">
        <f t="shared" si="135"/>
        <v>0</v>
      </c>
      <c r="S235" s="97">
        <f t="shared" ca="1" si="133"/>
        <v>0</v>
      </c>
      <c r="T235" s="97">
        <f t="shared" ca="1" si="133"/>
        <v>0</v>
      </c>
      <c r="U235" s="84">
        <f t="shared" ca="1" si="133"/>
        <v>0</v>
      </c>
      <c r="V235" s="84">
        <f t="shared" ca="1" si="133"/>
        <v>0</v>
      </c>
      <c r="W235" s="84">
        <f t="shared" ca="1" si="133"/>
        <v>0</v>
      </c>
      <c r="X235" s="88">
        <f t="shared" ca="1" si="134"/>
        <v>0</v>
      </c>
      <c r="Y235" s="88">
        <f t="shared" ca="1" si="134"/>
        <v>0</v>
      </c>
      <c r="Z235" s="88">
        <f t="shared" ca="1" si="134"/>
        <v>0</v>
      </c>
      <c r="AA235" s="88">
        <f t="shared" ca="1" si="134"/>
        <v>0</v>
      </c>
      <c r="AB235" s="88">
        <f t="shared" ca="1" si="134"/>
        <v>0</v>
      </c>
      <c r="AC235" s="139">
        <f t="shared" ca="1" si="136"/>
        <v>0</v>
      </c>
      <c r="AE235" s="85"/>
      <c r="AF235" s="85"/>
    </row>
    <row r="236" spans="1:32" ht="13.15" hidden="1" x14ac:dyDescent="0.25">
      <c r="A236" s="114"/>
      <c r="B236" s="1"/>
      <c r="C236" s="58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49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3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1"/>
      <c r="S237" s="100">
        <f>SUMIF($M$227:$M$235,"&lt;20",S$227:S$235)</f>
        <v>0</v>
      </c>
      <c r="T237" s="100">
        <f t="shared" ref="T237:AC237" si="137">SUMIF($M$227:$M$235,"&lt;20",T$227:T$235)</f>
        <v>0</v>
      </c>
      <c r="U237" s="100">
        <f t="shared" si="137"/>
        <v>0</v>
      </c>
      <c r="V237" s="100">
        <f t="shared" si="137"/>
        <v>0</v>
      </c>
      <c r="W237" s="100">
        <f t="shared" si="137"/>
        <v>0</v>
      </c>
      <c r="X237" s="100">
        <f t="shared" si="137"/>
        <v>0</v>
      </c>
      <c r="Y237" s="100">
        <f t="shared" si="137"/>
        <v>0</v>
      </c>
      <c r="Z237" s="100">
        <f t="shared" si="137"/>
        <v>0</v>
      </c>
      <c r="AA237" s="100">
        <f t="shared" si="137"/>
        <v>0</v>
      </c>
      <c r="AB237" s="100">
        <f t="shared" si="137"/>
        <v>0</v>
      </c>
      <c r="AC237" s="200">
        <f t="shared" si="137"/>
        <v>0</v>
      </c>
    </row>
    <row r="238" spans="1:32" s="68" customFormat="1" ht="13.5" hidden="1" x14ac:dyDescent="0.25">
      <c r="A238" s="133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1"/>
      <c r="S238" s="100">
        <f>SUMIF($M$227:$M$235,"&lt;=35",S$227:S$235)-S237</f>
        <v>0</v>
      </c>
      <c r="T238" s="100">
        <f t="shared" ref="T238:AC238" si="138">SUMIF($M$227:$M$235,"&lt;=35",T$227:T$235)-T237</f>
        <v>0</v>
      </c>
      <c r="U238" s="100">
        <f t="shared" si="138"/>
        <v>0</v>
      </c>
      <c r="V238" s="100">
        <f t="shared" si="138"/>
        <v>0</v>
      </c>
      <c r="W238" s="100">
        <f t="shared" si="138"/>
        <v>0</v>
      </c>
      <c r="X238" s="100">
        <f t="shared" si="138"/>
        <v>0</v>
      </c>
      <c r="Y238" s="100">
        <f t="shared" si="138"/>
        <v>0</v>
      </c>
      <c r="Z238" s="100">
        <f t="shared" si="138"/>
        <v>0</v>
      </c>
      <c r="AA238" s="100">
        <f t="shared" si="138"/>
        <v>0</v>
      </c>
      <c r="AB238" s="100">
        <f t="shared" si="138"/>
        <v>0</v>
      </c>
      <c r="AC238" s="200">
        <f t="shared" si="138"/>
        <v>0</v>
      </c>
    </row>
    <row r="239" spans="1:32" s="68" customFormat="1" ht="13.5" hidden="1" x14ac:dyDescent="0.25">
      <c r="A239" s="133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1"/>
      <c r="S239" s="100">
        <f>SUMIF($M$227:$M$235,"&gt;=110",S$227:S$235)</f>
        <v>0</v>
      </c>
      <c r="T239" s="100">
        <f t="shared" ref="T239:AC239" si="139">SUMIF($M$227:$M$235,"&gt;=110",T$227:T$235)</f>
        <v>0</v>
      </c>
      <c r="U239" s="100">
        <f t="shared" si="139"/>
        <v>0</v>
      </c>
      <c r="V239" s="100">
        <f t="shared" si="139"/>
        <v>0</v>
      </c>
      <c r="W239" s="100">
        <f t="shared" si="139"/>
        <v>0</v>
      </c>
      <c r="X239" s="100">
        <f t="shared" si="139"/>
        <v>0</v>
      </c>
      <c r="Y239" s="100">
        <f t="shared" si="139"/>
        <v>0</v>
      </c>
      <c r="Z239" s="100">
        <f t="shared" si="139"/>
        <v>0</v>
      </c>
      <c r="AA239" s="100">
        <f t="shared" si="139"/>
        <v>0</v>
      </c>
      <c r="AB239" s="100">
        <f t="shared" si="139"/>
        <v>0</v>
      </c>
      <c r="AC239" s="200">
        <f t="shared" si="139"/>
        <v>0</v>
      </c>
    </row>
    <row r="240" spans="1:32" ht="13.15" hidden="1" x14ac:dyDescent="0.25">
      <c r="A240" s="114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49">
        <v>0</v>
      </c>
      <c r="S240" s="85"/>
      <c r="T240" s="85"/>
      <c r="U240" s="86"/>
      <c r="V240" s="86"/>
      <c r="W240" s="86"/>
    </row>
    <row r="241" spans="1:32" ht="13.15" hidden="1" x14ac:dyDescent="0.25">
      <c r="A241" s="114" t="str">
        <f>IF(C241="","",MAX(A$207:A240)+1)</f>
        <v/>
      </c>
      <c r="B241" s="1" t="str">
        <f>IFERROR(VLOOKUP($C241,Таблица!$B$453:$E$462,2,FALSE),"")</f>
        <v/>
      </c>
      <c r="C241" s="31"/>
      <c r="D241" s="31"/>
      <c r="E241" s="1"/>
      <c r="F241" s="1"/>
      <c r="G241" s="32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2"/>
      <c r="Q241" s="1" t="str">
        <f>IF(OR(AND(ISERROR(VLOOKUP($C241,Таблица!$B$453:$E$462,2,FALSE)),$C241&lt;&gt;""),P241&lt;&gt;""),"√","")</f>
        <v/>
      </c>
      <c r="R241" s="249">
        <f>IFERROR(ROUND(K241*IF(P241="",N241*O241,P241*O241),2),0)</f>
        <v>0</v>
      </c>
      <c r="S241" s="62">
        <f t="shared" ref="S241:W244" ca="1" si="140">ROUND($AC241*S$206%,2)</f>
        <v>0</v>
      </c>
      <c r="T241" s="62">
        <f t="shared" ca="1" si="140"/>
        <v>0</v>
      </c>
      <c r="U241" s="84">
        <f t="shared" ca="1" si="140"/>
        <v>0</v>
      </c>
      <c r="V241" s="84">
        <f t="shared" ca="1" si="140"/>
        <v>0</v>
      </c>
      <c r="W241" s="84">
        <f t="shared" ca="1" si="140"/>
        <v>0</v>
      </c>
      <c r="X241" s="88">
        <f t="shared" ref="X241:AB244" ca="1" si="141">IF($R241="",0,ROUND($R241*X$206*(1+$K$279),2))</f>
        <v>0</v>
      </c>
      <c r="Y241" s="88">
        <f t="shared" ca="1" si="141"/>
        <v>0</v>
      </c>
      <c r="Z241" s="88">
        <f t="shared" ca="1" si="141"/>
        <v>0</v>
      </c>
      <c r="AA241" s="88">
        <f t="shared" ca="1" si="141"/>
        <v>0</v>
      </c>
      <c r="AB241" s="88">
        <f t="shared" ca="1" si="141"/>
        <v>0</v>
      </c>
      <c r="AC241" s="139">
        <f ca="1">IFERROR(ROUND(R241*(1+$K$279),2)+SUM(X241:AB241),0)</f>
        <v>0</v>
      </c>
      <c r="AE241" s="85"/>
      <c r="AF241" s="85"/>
    </row>
    <row r="242" spans="1:32" ht="13.15" hidden="1" x14ac:dyDescent="0.25">
      <c r="A242" s="114" t="str">
        <f>IF(C242="","",MAX(A$207:A241)+1)</f>
        <v/>
      </c>
      <c r="B242" s="1" t="str">
        <f>IFERROR(VLOOKUP($C242,Таблица!$B$453:$E$462,2,FALSE),"")</f>
        <v/>
      </c>
      <c r="C242" s="31"/>
      <c r="D242" s="31"/>
      <c r="E242" s="1"/>
      <c r="F242" s="1"/>
      <c r="G242" s="32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2"/>
      <c r="Q242" s="1" t="str">
        <f>IF(OR(AND(ISERROR(VLOOKUP($C242,Таблица!$B$453:$E$462,2,FALSE)),$C242&lt;&gt;""),P242&lt;&gt;""),"√","")</f>
        <v/>
      </c>
      <c r="R242" s="249">
        <f t="shared" ref="R242:R244" si="142">IFERROR(ROUND(K242*IF(P242="",N242*O242,P242*O242),2),0)</f>
        <v>0</v>
      </c>
      <c r="S242" s="62">
        <f t="shared" ca="1" si="140"/>
        <v>0</v>
      </c>
      <c r="T242" s="62">
        <f t="shared" ca="1" si="140"/>
        <v>0</v>
      </c>
      <c r="U242" s="84">
        <f t="shared" ca="1" si="140"/>
        <v>0</v>
      </c>
      <c r="V242" s="84">
        <f t="shared" ca="1" si="140"/>
        <v>0</v>
      </c>
      <c r="W242" s="84">
        <f t="shared" ca="1" si="140"/>
        <v>0</v>
      </c>
      <c r="X242" s="88">
        <f t="shared" ca="1" si="141"/>
        <v>0</v>
      </c>
      <c r="Y242" s="88">
        <f t="shared" ca="1" si="141"/>
        <v>0</v>
      </c>
      <c r="Z242" s="88">
        <f t="shared" ca="1" si="141"/>
        <v>0</v>
      </c>
      <c r="AA242" s="88">
        <f t="shared" ca="1" si="141"/>
        <v>0</v>
      </c>
      <c r="AB242" s="88">
        <f t="shared" ca="1" si="141"/>
        <v>0</v>
      </c>
      <c r="AC242" s="139">
        <f ca="1">IFERROR(ROUND(R242*(1+$K$279),2)+SUM(X242:AB242),0)</f>
        <v>0</v>
      </c>
      <c r="AE242" s="85"/>
      <c r="AF242" s="85"/>
    </row>
    <row r="243" spans="1:32" ht="13.15" hidden="1" x14ac:dyDescent="0.25">
      <c r="A243" s="114" t="str">
        <f>IF(C243="","",MAX(A$207:A242)+1)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49">
        <f t="shared" si="142"/>
        <v>0</v>
      </c>
      <c r="S243" s="62">
        <f t="shared" ca="1" si="140"/>
        <v>0</v>
      </c>
      <c r="T243" s="62">
        <f t="shared" ca="1" si="140"/>
        <v>0</v>
      </c>
      <c r="U243" s="84">
        <f t="shared" ca="1" si="140"/>
        <v>0</v>
      </c>
      <c r="V243" s="84">
        <f t="shared" ca="1" si="140"/>
        <v>0</v>
      </c>
      <c r="W243" s="84">
        <f t="shared" ca="1" si="140"/>
        <v>0</v>
      </c>
      <c r="X243" s="88">
        <f t="shared" ca="1" si="141"/>
        <v>0</v>
      </c>
      <c r="Y243" s="88">
        <f t="shared" ca="1" si="141"/>
        <v>0</v>
      </c>
      <c r="Z243" s="88">
        <f t="shared" ca="1" si="141"/>
        <v>0</v>
      </c>
      <c r="AA243" s="88">
        <f t="shared" ca="1" si="141"/>
        <v>0</v>
      </c>
      <c r="AB243" s="88">
        <f t="shared" ca="1" si="141"/>
        <v>0</v>
      </c>
      <c r="AC243" s="139">
        <f ca="1">IFERROR(ROUND(R243*(1+$K$279),2)+SUM(X243:AB243),0)</f>
        <v>0</v>
      </c>
      <c r="AE243" s="85"/>
      <c r="AF243" s="85"/>
    </row>
    <row r="244" spans="1:32" ht="13.15" hidden="1" x14ac:dyDescent="0.25">
      <c r="A244" s="114" t="str">
        <f>IF(C244="","",MAX(A$207:A243)+1)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50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49">
        <f t="shared" si="142"/>
        <v>0</v>
      </c>
      <c r="S244" s="62">
        <f t="shared" ca="1" si="140"/>
        <v>0</v>
      </c>
      <c r="T244" s="62">
        <f t="shared" ca="1" si="140"/>
        <v>0</v>
      </c>
      <c r="U244" s="84">
        <f t="shared" ca="1" si="140"/>
        <v>0</v>
      </c>
      <c r="V244" s="84">
        <f t="shared" ca="1" si="140"/>
        <v>0</v>
      </c>
      <c r="W244" s="84">
        <f t="shared" ca="1" si="140"/>
        <v>0</v>
      </c>
      <c r="X244" s="88">
        <f t="shared" ca="1" si="141"/>
        <v>0</v>
      </c>
      <c r="Y244" s="88">
        <f t="shared" ca="1" si="141"/>
        <v>0</v>
      </c>
      <c r="Z244" s="88">
        <f t="shared" ca="1" si="141"/>
        <v>0</v>
      </c>
      <c r="AA244" s="88">
        <f t="shared" ca="1" si="141"/>
        <v>0</v>
      </c>
      <c r="AB244" s="88">
        <f t="shared" ca="1" si="141"/>
        <v>0</v>
      </c>
      <c r="AC244" s="139">
        <f ca="1">IFERROR(ROUND(R244*(1+$K$279),2)+SUM(X244:AB244),0)</f>
        <v>0</v>
      </c>
      <c r="AE244" s="85"/>
      <c r="AF244" s="85"/>
    </row>
    <row r="245" spans="1:32" ht="13.15" hidden="1" x14ac:dyDescent="0.25">
      <c r="A245" s="114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49">
        <v>0</v>
      </c>
      <c r="S245" s="85"/>
      <c r="T245" s="85"/>
      <c r="U245" s="86"/>
      <c r="V245" s="86"/>
      <c r="W245" s="86"/>
    </row>
    <row r="246" spans="1:32" ht="13.15" hidden="1" x14ac:dyDescent="0.25">
      <c r="A246" s="114" t="str">
        <f>IF(C246="","",MAX(A$207:A245)+1)</f>
        <v/>
      </c>
      <c r="B246" s="1" t="str">
        <f>IFERROR(VLOOKUP($C246,Таблица!$B$465:$E$476,2,FALSE),"")</f>
        <v/>
      </c>
      <c r="C246" s="31"/>
      <c r="D246" s="31"/>
      <c r="E246" s="1"/>
      <c r="F246" s="1"/>
      <c r="G246" s="32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IF(OR(AND(ISERROR(VLOOKUP($C246,Таблица!$B$465:$E$476,2,FALSE)),$C246&lt;&gt;""),P246&lt;&gt;""),"√","")</f>
        <v/>
      </c>
      <c r="R246" s="249">
        <f>IFERROR(ROUND(K246*IF(P246="",N246*O246,P246*O246),2),0)</f>
        <v>0</v>
      </c>
      <c r="S246" s="62">
        <f t="shared" ref="S246:W249" ca="1" si="143">ROUND($AC246*S$206%,2)</f>
        <v>0</v>
      </c>
      <c r="T246" s="62">
        <f t="shared" ca="1" si="143"/>
        <v>0</v>
      </c>
      <c r="U246" s="84">
        <f t="shared" ca="1" si="143"/>
        <v>0</v>
      </c>
      <c r="V246" s="84">
        <f t="shared" ca="1" si="143"/>
        <v>0</v>
      </c>
      <c r="W246" s="84">
        <f t="shared" ca="1" si="143"/>
        <v>0</v>
      </c>
      <c r="X246" s="88">
        <f t="shared" ref="X246:AB249" ca="1" si="144">IF($R246="",0,ROUND($R246*X$206*(1+$K$279),2))</f>
        <v>0</v>
      </c>
      <c r="Y246" s="88">
        <f t="shared" ca="1" si="144"/>
        <v>0</v>
      </c>
      <c r="Z246" s="88">
        <f t="shared" ca="1" si="144"/>
        <v>0</v>
      </c>
      <c r="AA246" s="88">
        <f t="shared" ca="1" si="144"/>
        <v>0</v>
      </c>
      <c r="AB246" s="88">
        <f t="shared" ca="1" si="144"/>
        <v>0</v>
      </c>
      <c r="AC246" s="139">
        <f ca="1">IFERROR(ROUND(R246*(1+$K$279),2)+SUM(X246:AB246),0)</f>
        <v>0</v>
      </c>
      <c r="AE246" s="85"/>
      <c r="AF246" s="85"/>
    </row>
    <row r="247" spans="1:32" ht="13.15" hidden="1" x14ac:dyDescent="0.25">
      <c r="A247" s="114" t="str">
        <f>IF(C247="","",MAX(A$207:A246)+1)</f>
        <v/>
      </c>
      <c r="B247" s="1" t="str">
        <f>IFERROR(VLOOKUP($C247,Таблица!$B$465:$E$476,2,FALSE),"")</f>
        <v/>
      </c>
      <c r="C247" s="31"/>
      <c r="D247" s="31"/>
      <c r="E247" s="1"/>
      <c r="F247" s="1"/>
      <c r="G247" s="32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2"/>
      <c r="Q247" s="1" t="str">
        <f>IF(OR(AND(ISERROR(VLOOKUP($C247,Таблица!$B$465:$E$476,2,FALSE)),$C247&lt;&gt;""),P247&lt;&gt;""),"√","")</f>
        <v/>
      </c>
      <c r="R247" s="249">
        <f t="shared" ref="R247:R249" si="145">IFERROR(ROUND(K247*IF(P247="",N247*O247,P247*O247),2),0)</f>
        <v>0</v>
      </c>
      <c r="S247" s="62">
        <f t="shared" ca="1" si="143"/>
        <v>0</v>
      </c>
      <c r="T247" s="62">
        <f t="shared" ca="1" si="143"/>
        <v>0</v>
      </c>
      <c r="U247" s="84">
        <f t="shared" ca="1" si="143"/>
        <v>0</v>
      </c>
      <c r="V247" s="84">
        <f t="shared" ca="1" si="143"/>
        <v>0</v>
      </c>
      <c r="W247" s="84">
        <f t="shared" ca="1" si="143"/>
        <v>0</v>
      </c>
      <c r="X247" s="88">
        <f t="shared" ca="1" si="144"/>
        <v>0</v>
      </c>
      <c r="Y247" s="88">
        <f t="shared" ca="1" si="144"/>
        <v>0</v>
      </c>
      <c r="Z247" s="88">
        <f t="shared" ca="1" si="144"/>
        <v>0</v>
      </c>
      <c r="AA247" s="88">
        <f t="shared" ca="1" si="144"/>
        <v>0</v>
      </c>
      <c r="AB247" s="88">
        <f t="shared" ca="1" si="144"/>
        <v>0</v>
      </c>
      <c r="AC247" s="139">
        <f ca="1">IFERROR(ROUND(R247*(1+$K$279),2)+SUM(X247:AB247),0)</f>
        <v>0</v>
      </c>
      <c r="AE247" s="85"/>
      <c r="AF247" s="85"/>
    </row>
    <row r="248" spans="1:32" ht="13.15" hidden="1" x14ac:dyDescent="0.25">
      <c r="A248" s="114" t="str">
        <f>IF(C248="","",MAX(A$207:A247)+1)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49">
        <f t="shared" si="145"/>
        <v>0</v>
      </c>
      <c r="S248" s="62">
        <f t="shared" ca="1" si="143"/>
        <v>0</v>
      </c>
      <c r="T248" s="62">
        <f t="shared" ca="1" si="143"/>
        <v>0</v>
      </c>
      <c r="U248" s="84">
        <f t="shared" ca="1" si="143"/>
        <v>0</v>
      </c>
      <c r="V248" s="84">
        <f t="shared" ca="1" si="143"/>
        <v>0</v>
      </c>
      <c r="W248" s="84">
        <f t="shared" ca="1" si="143"/>
        <v>0</v>
      </c>
      <c r="X248" s="88">
        <f t="shared" ca="1" si="144"/>
        <v>0</v>
      </c>
      <c r="Y248" s="88">
        <f t="shared" ca="1" si="144"/>
        <v>0</v>
      </c>
      <c r="Z248" s="88">
        <f t="shared" ca="1" si="144"/>
        <v>0</v>
      </c>
      <c r="AA248" s="88">
        <f t="shared" ca="1" si="144"/>
        <v>0</v>
      </c>
      <c r="AB248" s="88">
        <f t="shared" ca="1" si="144"/>
        <v>0</v>
      </c>
      <c r="AC248" s="139">
        <f ca="1">IFERROR(ROUND(R248*(1+$K$279),2)+SUM(X248:AB248),0)</f>
        <v>0</v>
      </c>
      <c r="AE248" s="85"/>
      <c r="AF248" s="85"/>
    </row>
    <row r="249" spans="1:32" ht="13.15" hidden="1" x14ac:dyDescent="0.25">
      <c r="A249" s="114" t="str">
        <f>IF(C249="","",MAX(A$207:A248)+1)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49">
        <f t="shared" si="145"/>
        <v>0</v>
      </c>
      <c r="S249" s="62">
        <f t="shared" ca="1" si="143"/>
        <v>0</v>
      </c>
      <c r="T249" s="62">
        <f t="shared" ca="1" si="143"/>
        <v>0</v>
      </c>
      <c r="U249" s="84">
        <f t="shared" ca="1" si="143"/>
        <v>0</v>
      </c>
      <c r="V249" s="84">
        <f t="shared" ca="1" si="143"/>
        <v>0</v>
      </c>
      <c r="W249" s="84">
        <f t="shared" ca="1" si="143"/>
        <v>0</v>
      </c>
      <c r="X249" s="88">
        <f t="shared" ca="1" si="144"/>
        <v>0</v>
      </c>
      <c r="Y249" s="88">
        <f t="shared" ca="1" si="144"/>
        <v>0</v>
      </c>
      <c r="Z249" s="88">
        <f t="shared" ca="1" si="144"/>
        <v>0</v>
      </c>
      <c r="AA249" s="88">
        <f t="shared" ca="1" si="144"/>
        <v>0</v>
      </c>
      <c r="AB249" s="88">
        <f t="shared" ca="1" si="144"/>
        <v>0</v>
      </c>
      <c r="AC249" s="139">
        <f ca="1">IFERROR(ROUND(R249*(1+$K$279),2)+SUM(X249:AB249),0)</f>
        <v>0</v>
      </c>
      <c r="AE249" s="85"/>
      <c r="AF249" s="85"/>
    </row>
    <row r="250" spans="1:32" ht="13.15" hidden="1" x14ac:dyDescent="0.25">
      <c r="A250" s="114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49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3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1"/>
      <c r="S251" s="100">
        <f t="shared" ref="S251:AB251" si="146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46"/>
        <v>0</v>
      </c>
      <c r="U251" s="100">
        <f t="shared" si="146"/>
        <v>0</v>
      </c>
      <c r="V251" s="100">
        <f t="shared" si="146"/>
        <v>0</v>
      </c>
      <c r="W251" s="100">
        <f t="shared" si="146"/>
        <v>0</v>
      </c>
      <c r="X251" s="100">
        <f t="shared" si="146"/>
        <v>0</v>
      </c>
      <c r="Y251" s="100">
        <f t="shared" si="146"/>
        <v>0</v>
      </c>
      <c r="Z251" s="100">
        <f t="shared" si="146"/>
        <v>0</v>
      </c>
      <c r="AA251" s="100">
        <f t="shared" si="146"/>
        <v>0</v>
      </c>
      <c r="AB251" s="100">
        <f t="shared" si="146"/>
        <v>0</v>
      </c>
    </row>
    <row r="252" spans="1:32" s="68" customFormat="1" hidden="1" x14ac:dyDescent="0.2">
      <c r="A252" s="133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1"/>
      <c r="S252" s="100">
        <f t="shared" ref="S252:AB252" si="147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47"/>
        <v>0</v>
      </c>
      <c r="U252" s="100">
        <f t="shared" si="147"/>
        <v>0</v>
      </c>
      <c r="V252" s="100">
        <f t="shared" si="147"/>
        <v>0</v>
      </c>
      <c r="W252" s="100">
        <f t="shared" si="147"/>
        <v>0</v>
      </c>
      <c r="X252" s="100">
        <f t="shared" si="147"/>
        <v>0</v>
      </c>
      <c r="Y252" s="100">
        <f t="shared" si="147"/>
        <v>0</v>
      </c>
      <c r="Z252" s="100">
        <f t="shared" si="147"/>
        <v>0</v>
      </c>
      <c r="AA252" s="100">
        <f t="shared" si="147"/>
        <v>0</v>
      </c>
      <c r="AB252" s="100">
        <f t="shared" si="147"/>
        <v>0</v>
      </c>
    </row>
    <row r="253" spans="1:32" s="68" customFormat="1" hidden="1" x14ac:dyDescent="0.2">
      <c r="A253" s="133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1"/>
      <c r="S253" s="100">
        <f t="shared" ref="S253:AB253" si="148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8"/>
        <v>0</v>
      </c>
      <c r="U253" s="100">
        <f t="shared" si="148"/>
        <v>0</v>
      </c>
      <c r="V253" s="100">
        <f t="shared" si="148"/>
        <v>0</v>
      </c>
      <c r="W253" s="100">
        <f t="shared" si="148"/>
        <v>0</v>
      </c>
      <c r="X253" s="100">
        <f t="shared" si="148"/>
        <v>0</v>
      </c>
      <c r="Y253" s="100">
        <f t="shared" si="148"/>
        <v>0</v>
      </c>
      <c r="Z253" s="100">
        <f t="shared" si="148"/>
        <v>0</v>
      </c>
      <c r="AA253" s="100">
        <f t="shared" si="148"/>
        <v>0</v>
      </c>
      <c r="AB253" s="100">
        <f t="shared" si="148"/>
        <v>0</v>
      </c>
    </row>
    <row r="254" spans="1:32" ht="13.15" hidden="1" x14ac:dyDescent="0.25">
      <c r="A254" s="114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49">
        <v>0</v>
      </c>
      <c r="S254" s="85"/>
      <c r="T254" s="85"/>
      <c r="U254" s="86"/>
      <c r="V254" s="86"/>
      <c r="W254" s="86"/>
    </row>
    <row r="255" spans="1:32" ht="13.15" hidden="1" x14ac:dyDescent="0.25">
      <c r="A255" s="114" t="str">
        <f>IF(C255="","",MAX(A$207:A254)+1)</f>
        <v/>
      </c>
      <c r="B255" s="1" t="str">
        <f>IFERROR(VLOOKUP($C255,Таблица!$B$479:$E$498,2,FALSE),"")</f>
        <v/>
      </c>
      <c r="C255" s="48"/>
      <c r="D255" s="31"/>
      <c r="E255" s="1"/>
      <c r="F255" s="1"/>
      <c r="G255" s="32"/>
      <c r="H255" s="1"/>
      <c r="I255" s="1"/>
      <c r="J255" s="1" t="str">
        <f t="shared" ref="J255:J278" si="149">IF($C255="","","шт.")</f>
        <v/>
      </c>
      <c r="K255" s="64"/>
      <c r="L255" s="1">
        <f>IFERROR(VLOOKUP($C255,Таблица!$B$479:$K$498,3,FALSE),0)</f>
        <v>0</v>
      </c>
      <c r="M255" s="1" t="str">
        <f>IFERROR(VLOOKUP($C255,Таблица!$B$479:$F$498,5,FALSE),"")</f>
        <v/>
      </c>
      <c r="N255" s="56" t="str">
        <f>IFERROR(VLOOKUP($C255,Таблица!$B$479:$E$498,4,FALSE),"")</f>
        <v/>
      </c>
      <c r="O255" s="1">
        <f t="shared" ref="O255:O262" si="150">IF(E255="",1,E255)*IF(F255="",1,F255)*IF(G255="",1,G255)*IF(H255="",1,H255)*IF(I255="",1,I255)</f>
        <v>1</v>
      </c>
      <c r="P255" s="42"/>
      <c r="Q255" s="11" t="str">
        <f>IF(OR(AND(ISERROR(VLOOKUP($C255,Таблица!$B$479:$E$498,2,FALSE)),$C255&lt;&gt;""),P255&lt;&gt;""),"V","")</f>
        <v/>
      </c>
      <c r="R255" s="249">
        <f>IFERROR(ROUND(K255*IF(P255="",N255*O255,P255*O255),2),0)</f>
        <v>0</v>
      </c>
      <c r="S255" s="62">
        <f t="shared" ref="S255:W262" ca="1" si="151">ROUND($AC255*S$206%,2)</f>
        <v>0</v>
      </c>
      <c r="T255" s="62">
        <f t="shared" ca="1" si="151"/>
        <v>0</v>
      </c>
      <c r="U255" s="84">
        <f t="shared" ca="1" si="151"/>
        <v>0</v>
      </c>
      <c r="V255" s="84">
        <f t="shared" ca="1" si="151"/>
        <v>0</v>
      </c>
      <c r="W255" s="84">
        <f t="shared" ca="1" si="151"/>
        <v>0</v>
      </c>
      <c r="X255" s="88">
        <f t="shared" ref="X255:AB262" ca="1" si="152">IF($R255="",0,ROUND($R255*X$206*(1+$K$279),2))</f>
        <v>0</v>
      </c>
      <c r="Y255" s="88">
        <f t="shared" ca="1" si="152"/>
        <v>0</v>
      </c>
      <c r="Z255" s="88">
        <f t="shared" ca="1" si="152"/>
        <v>0</v>
      </c>
      <c r="AA255" s="88">
        <f t="shared" ca="1" si="152"/>
        <v>0</v>
      </c>
      <c r="AB255" s="88">
        <f t="shared" ca="1" si="152"/>
        <v>0</v>
      </c>
      <c r="AC255" s="139">
        <f t="shared" ref="AC255:AC262" ca="1" si="153">IFERROR(ROUND(R255*(1+$K$279),2)+SUM(X255:AB255),0)</f>
        <v>0</v>
      </c>
      <c r="AD255" s="205">
        <f>IFERROR(VLOOKUP($C255,Таблица!$B$479:$L$498,11,FALSE),0)</f>
        <v>0</v>
      </c>
      <c r="AE255" s="85"/>
      <c r="AF255" s="85"/>
    </row>
    <row r="256" spans="1:32" ht="13.15" hidden="1" x14ac:dyDescent="0.25">
      <c r="A256" s="114" t="str">
        <f>IF(C256="","",MAX(A$207:A255)+1)</f>
        <v/>
      </c>
      <c r="B256" s="1" t="str">
        <f>IFERROR(VLOOKUP($C256,Таблица!$B$479:$E$498,2,FALSE),"")</f>
        <v/>
      </c>
      <c r="C256" s="31"/>
      <c r="D256" s="31"/>
      <c r="E256" s="1"/>
      <c r="F256" s="1"/>
      <c r="G256" s="32"/>
      <c r="H256" s="1"/>
      <c r="I256" s="1"/>
      <c r="J256" s="1" t="str">
        <f t="shared" si="149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0"/>
        <v>1</v>
      </c>
      <c r="P256" s="42"/>
      <c r="Q256" s="11" t="str">
        <f>IF(OR(AND(ISERROR(VLOOKUP($C256,Таблица!$B$479:$E$498,2,FALSE)),$C256&lt;&gt;""),P256&lt;&gt;""),"V","")</f>
        <v/>
      </c>
      <c r="R256" s="249">
        <f t="shared" ref="R256:R262" si="154">IFERROR(ROUND(K256*IF(P256="",N256*O256,P256*O256),2),0)</f>
        <v>0</v>
      </c>
      <c r="S256" s="62">
        <f t="shared" ca="1" si="151"/>
        <v>0</v>
      </c>
      <c r="T256" s="62">
        <f t="shared" ca="1" si="151"/>
        <v>0</v>
      </c>
      <c r="U256" s="84">
        <f t="shared" ca="1" si="151"/>
        <v>0</v>
      </c>
      <c r="V256" s="84">
        <f t="shared" ca="1" si="151"/>
        <v>0</v>
      </c>
      <c r="W256" s="84">
        <f t="shared" ca="1" si="151"/>
        <v>0</v>
      </c>
      <c r="X256" s="88">
        <f t="shared" ca="1" si="152"/>
        <v>0</v>
      </c>
      <c r="Y256" s="88">
        <f t="shared" ca="1" si="152"/>
        <v>0</v>
      </c>
      <c r="Z256" s="88">
        <f t="shared" ca="1" si="152"/>
        <v>0</v>
      </c>
      <c r="AA256" s="88">
        <f t="shared" ca="1" si="152"/>
        <v>0</v>
      </c>
      <c r="AB256" s="88">
        <f t="shared" ca="1" si="152"/>
        <v>0</v>
      </c>
      <c r="AC256" s="139">
        <f t="shared" ca="1" si="153"/>
        <v>0</v>
      </c>
      <c r="AD256" s="205">
        <f>IFERROR(VLOOKUP($C256,Таблица!$B$479:$L$498,11,FALSE),0)</f>
        <v>0</v>
      </c>
      <c r="AE256" s="85"/>
      <c r="AF256" s="85"/>
    </row>
    <row r="257" spans="1:32" ht="13.15" hidden="1" x14ac:dyDescent="0.25">
      <c r="A257" s="114" t="str">
        <f>IF(C257="","",MAX(A$207:A256)+1)</f>
        <v/>
      </c>
      <c r="B257" s="1" t="str">
        <f>IFERROR(VLOOKUP($C257,Таблица!$B$479:$E$498,2,FALSE),"")</f>
        <v/>
      </c>
      <c r="C257" s="31"/>
      <c r="D257" s="31"/>
      <c r="E257" s="1"/>
      <c r="F257" s="1"/>
      <c r="G257" s="32"/>
      <c r="H257" s="1"/>
      <c r="I257" s="1"/>
      <c r="J257" s="1" t="str">
        <f t="shared" si="149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0"/>
        <v>1</v>
      </c>
      <c r="P257" s="42"/>
      <c r="Q257" s="11" t="str">
        <f>IF(OR(AND(ISERROR(VLOOKUP($C257,Таблица!$B$479:$E$498,2,FALSE)),$C257&lt;&gt;""),P257&lt;&gt;""),"V","")</f>
        <v/>
      </c>
      <c r="R257" s="249">
        <f t="shared" si="154"/>
        <v>0</v>
      </c>
      <c r="S257" s="62">
        <f t="shared" ca="1" si="151"/>
        <v>0</v>
      </c>
      <c r="T257" s="62">
        <f t="shared" ca="1" si="151"/>
        <v>0</v>
      </c>
      <c r="U257" s="84">
        <f t="shared" ca="1" si="151"/>
        <v>0</v>
      </c>
      <c r="V257" s="84">
        <f t="shared" ca="1" si="151"/>
        <v>0</v>
      </c>
      <c r="W257" s="84">
        <f t="shared" ca="1" si="151"/>
        <v>0</v>
      </c>
      <c r="X257" s="88">
        <f t="shared" ca="1" si="152"/>
        <v>0</v>
      </c>
      <c r="Y257" s="88">
        <f t="shared" ca="1" si="152"/>
        <v>0</v>
      </c>
      <c r="Z257" s="88">
        <f t="shared" ca="1" si="152"/>
        <v>0</v>
      </c>
      <c r="AA257" s="88">
        <f t="shared" ca="1" si="152"/>
        <v>0</v>
      </c>
      <c r="AB257" s="88">
        <f t="shared" ca="1" si="152"/>
        <v>0</v>
      </c>
      <c r="AC257" s="139">
        <f t="shared" ca="1" si="153"/>
        <v>0</v>
      </c>
      <c r="AD257" s="205">
        <f>IFERROR(VLOOKUP($C257,Таблица!$B$479:$L$498,11,FALSE),0)</f>
        <v>0</v>
      </c>
      <c r="AE257" s="85"/>
      <c r="AF257" s="85"/>
    </row>
    <row r="258" spans="1:32" ht="13.15" hidden="1" x14ac:dyDescent="0.25">
      <c r="A258" s="114" t="str">
        <f>IF(C258="","",MAX(A$207:A257)+1)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9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0"/>
        <v>1</v>
      </c>
      <c r="P258" s="42"/>
      <c r="Q258" s="11" t="str">
        <f>IF(OR(AND(ISERROR(VLOOKUP($C258,Таблица!$B$479:$E$498,2,FALSE)),$C258&lt;&gt;""),P258&lt;&gt;""),"V","")</f>
        <v/>
      </c>
      <c r="R258" s="249">
        <f t="shared" si="154"/>
        <v>0</v>
      </c>
      <c r="S258" s="62">
        <f t="shared" ca="1" si="151"/>
        <v>0</v>
      </c>
      <c r="T258" s="62">
        <f t="shared" ca="1" si="151"/>
        <v>0</v>
      </c>
      <c r="U258" s="84">
        <f t="shared" ca="1" si="151"/>
        <v>0</v>
      </c>
      <c r="V258" s="84">
        <f t="shared" ca="1" si="151"/>
        <v>0</v>
      </c>
      <c r="W258" s="84">
        <f t="shared" ca="1" si="151"/>
        <v>0</v>
      </c>
      <c r="X258" s="88">
        <f t="shared" ca="1" si="152"/>
        <v>0</v>
      </c>
      <c r="Y258" s="88">
        <f t="shared" ca="1" si="152"/>
        <v>0</v>
      </c>
      <c r="Z258" s="88">
        <f t="shared" ca="1" si="152"/>
        <v>0</v>
      </c>
      <c r="AA258" s="88">
        <f t="shared" ca="1" si="152"/>
        <v>0</v>
      </c>
      <c r="AB258" s="88">
        <f t="shared" ca="1" si="152"/>
        <v>0</v>
      </c>
      <c r="AC258" s="139">
        <f t="shared" ca="1" si="153"/>
        <v>0</v>
      </c>
      <c r="AD258" s="205">
        <f>IFERROR(VLOOKUP($C258,Таблица!$B$479:$L$498,11,FALSE),0)</f>
        <v>0</v>
      </c>
      <c r="AE258" s="85"/>
      <c r="AF258" s="85"/>
    </row>
    <row r="259" spans="1:32" ht="13.15" hidden="1" x14ac:dyDescent="0.25">
      <c r="A259" s="114" t="str">
        <f>IF(C259="","",MAX(A$207:A258)+1)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0"/>
        <v>1</v>
      </c>
      <c r="P259" s="42"/>
      <c r="Q259" s="11" t="str">
        <f>IF(OR(AND(ISERROR(VLOOKUP($C259,Таблица!$B$479:$E$498,2,FALSE)),$C259&lt;&gt;""),P259&lt;&gt;""),"V","")</f>
        <v/>
      </c>
      <c r="R259" s="249">
        <f t="shared" si="154"/>
        <v>0</v>
      </c>
      <c r="S259" s="62">
        <f t="shared" ca="1" si="151"/>
        <v>0</v>
      </c>
      <c r="T259" s="62">
        <f t="shared" ca="1" si="151"/>
        <v>0</v>
      </c>
      <c r="U259" s="84">
        <f t="shared" ca="1" si="151"/>
        <v>0</v>
      </c>
      <c r="V259" s="84">
        <f t="shared" ca="1" si="151"/>
        <v>0</v>
      </c>
      <c r="W259" s="84">
        <f t="shared" ca="1" si="151"/>
        <v>0</v>
      </c>
      <c r="X259" s="88">
        <f t="shared" ca="1" si="152"/>
        <v>0</v>
      </c>
      <c r="Y259" s="88">
        <f t="shared" ca="1" si="152"/>
        <v>0</v>
      </c>
      <c r="Z259" s="88">
        <f t="shared" ca="1" si="152"/>
        <v>0</v>
      </c>
      <c r="AA259" s="88">
        <f t="shared" ca="1" si="152"/>
        <v>0</v>
      </c>
      <c r="AB259" s="88">
        <f t="shared" ca="1" si="152"/>
        <v>0</v>
      </c>
      <c r="AC259" s="139">
        <f t="shared" ca="1" si="153"/>
        <v>0</v>
      </c>
      <c r="AD259" s="205">
        <f>IFERROR(VLOOKUP($C259,Таблица!$B$479:$L$498,11,FALSE),0)</f>
        <v>0</v>
      </c>
      <c r="AE259" s="85"/>
      <c r="AF259" s="85"/>
    </row>
    <row r="260" spans="1:32" ht="13.15" hidden="1" x14ac:dyDescent="0.25">
      <c r="A260" s="114" t="str">
        <f>IF(C260="","",MAX(A$207:A259)+1)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9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0"/>
        <v>1</v>
      </c>
      <c r="P260" s="42"/>
      <c r="Q260" s="11" t="str">
        <f>IF(OR(AND(ISERROR(VLOOKUP($C260,Таблица!$B$479:$E$498,2,FALSE)),$C260&lt;&gt;""),P260&lt;&gt;""),"V","")</f>
        <v/>
      </c>
      <c r="R260" s="249">
        <f t="shared" si="154"/>
        <v>0</v>
      </c>
      <c r="S260" s="62">
        <f t="shared" ca="1" si="151"/>
        <v>0</v>
      </c>
      <c r="T260" s="62">
        <f t="shared" ca="1" si="151"/>
        <v>0</v>
      </c>
      <c r="U260" s="84">
        <f t="shared" ca="1" si="151"/>
        <v>0</v>
      </c>
      <c r="V260" s="84">
        <f t="shared" ca="1" si="151"/>
        <v>0</v>
      </c>
      <c r="W260" s="84">
        <f t="shared" ca="1" si="151"/>
        <v>0</v>
      </c>
      <c r="X260" s="88">
        <f t="shared" ca="1" si="152"/>
        <v>0</v>
      </c>
      <c r="Y260" s="88">
        <f t="shared" ca="1" si="152"/>
        <v>0</v>
      </c>
      <c r="Z260" s="88">
        <f t="shared" ca="1" si="152"/>
        <v>0</v>
      </c>
      <c r="AA260" s="88">
        <f t="shared" ca="1" si="152"/>
        <v>0</v>
      </c>
      <c r="AB260" s="88">
        <f t="shared" ca="1" si="152"/>
        <v>0</v>
      </c>
      <c r="AC260" s="139">
        <f t="shared" ca="1" si="153"/>
        <v>0</v>
      </c>
      <c r="AD260" s="205">
        <f>IFERROR(VLOOKUP($C260,Таблица!$B$479:$L$498,11,FALSE),0)</f>
        <v>0</v>
      </c>
      <c r="AE260" s="85"/>
      <c r="AF260" s="85"/>
    </row>
    <row r="261" spans="1:32" ht="13.15" hidden="1" x14ac:dyDescent="0.25">
      <c r="A261" s="114" t="str">
        <f>IF(C261="","",MAX(A$207:A260)+1)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 t="shared" si="149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0"/>
        <v>1</v>
      </c>
      <c r="P261" s="42"/>
      <c r="Q261" s="11" t="str">
        <f>IF(OR(AND(ISERROR(VLOOKUP($C261,Таблица!$B$479:$E$498,2,FALSE)),$C261&lt;&gt;""),P261&lt;&gt;""),"V","")</f>
        <v/>
      </c>
      <c r="R261" s="249">
        <f t="shared" si="154"/>
        <v>0</v>
      </c>
      <c r="S261" s="62">
        <f t="shared" ca="1" si="151"/>
        <v>0</v>
      </c>
      <c r="T261" s="62">
        <f t="shared" ca="1" si="151"/>
        <v>0</v>
      </c>
      <c r="U261" s="84">
        <f t="shared" ca="1" si="151"/>
        <v>0</v>
      </c>
      <c r="V261" s="84">
        <f t="shared" ca="1" si="151"/>
        <v>0</v>
      </c>
      <c r="W261" s="84">
        <f t="shared" ca="1" si="151"/>
        <v>0</v>
      </c>
      <c r="X261" s="88">
        <f t="shared" ca="1" si="152"/>
        <v>0</v>
      </c>
      <c r="Y261" s="88">
        <f t="shared" ca="1" si="152"/>
        <v>0</v>
      </c>
      <c r="Z261" s="88">
        <f t="shared" ca="1" si="152"/>
        <v>0</v>
      </c>
      <c r="AA261" s="88">
        <f t="shared" ca="1" si="152"/>
        <v>0</v>
      </c>
      <c r="AB261" s="88">
        <f t="shared" ca="1" si="152"/>
        <v>0</v>
      </c>
      <c r="AC261" s="139">
        <f t="shared" ca="1" si="153"/>
        <v>0</v>
      </c>
      <c r="AD261" s="205">
        <f>IFERROR(VLOOKUP($C261,Таблица!$B$479:$L$498,11,FALSE),0)</f>
        <v>0</v>
      </c>
      <c r="AE261" s="85"/>
      <c r="AF261" s="85"/>
    </row>
    <row r="262" spans="1:32" ht="13.15" hidden="1" x14ac:dyDescent="0.25">
      <c r="A262" s="114" t="str">
        <f>IF(C262="","",MAX(A$207:A261)+1)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9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0"/>
        <v>1</v>
      </c>
      <c r="P262" s="42"/>
      <c r="Q262" s="11" t="str">
        <f>IF(OR(AND(ISERROR(VLOOKUP($C262,Таблица!$B$479:$E$498,2,FALSE)),$C262&lt;&gt;""),P262&lt;&gt;""),"V","")</f>
        <v/>
      </c>
      <c r="R262" s="249">
        <f t="shared" si="154"/>
        <v>0</v>
      </c>
      <c r="S262" s="62">
        <f t="shared" ca="1" si="151"/>
        <v>0</v>
      </c>
      <c r="T262" s="62">
        <f t="shared" ca="1" si="151"/>
        <v>0</v>
      </c>
      <c r="U262" s="84">
        <f t="shared" ca="1" si="151"/>
        <v>0</v>
      </c>
      <c r="V262" s="84">
        <f t="shared" ca="1" si="151"/>
        <v>0</v>
      </c>
      <c r="W262" s="84">
        <f t="shared" ca="1" si="151"/>
        <v>0</v>
      </c>
      <c r="X262" s="88">
        <f t="shared" ca="1" si="152"/>
        <v>0</v>
      </c>
      <c r="Y262" s="88">
        <f t="shared" ca="1" si="152"/>
        <v>0</v>
      </c>
      <c r="Z262" s="88">
        <f t="shared" ca="1" si="152"/>
        <v>0</v>
      </c>
      <c r="AA262" s="88">
        <f t="shared" ca="1" si="152"/>
        <v>0</v>
      </c>
      <c r="AB262" s="88">
        <f t="shared" ca="1" si="152"/>
        <v>0</v>
      </c>
      <c r="AC262" s="139">
        <f t="shared" ca="1" si="153"/>
        <v>0</v>
      </c>
      <c r="AD262" s="205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3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1"/>
      <c r="S263" s="100">
        <f t="shared" ref="S263:AB263" si="155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55"/>
        <v>0</v>
      </c>
      <c r="U263" s="100">
        <f t="shared" si="155"/>
        <v>0</v>
      </c>
      <c r="V263" s="100">
        <f t="shared" si="155"/>
        <v>0</v>
      </c>
      <c r="W263" s="100">
        <f t="shared" si="155"/>
        <v>0</v>
      </c>
      <c r="X263" s="100">
        <f t="shared" si="155"/>
        <v>0</v>
      </c>
      <c r="Y263" s="100">
        <f t="shared" si="155"/>
        <v>0</v>
      </c>
      <c r="Z263" s="100">
        <f t="shared" si="155"/>
        <v>0</v>
      </c>
      <c r="AA263" s="100">
        <f t="shared" si="155"/>
        <v>0</v>
      </c>
      <c r="AB263" s="100">
        <f t="shared" si="155"/>
        <v>0</v>
      </c>
    </row>
    <row r="264" spans="1:32" s="68" customFormat="1" hidden="1" x14ac:dyDescent="0.2">
      <c r="A264" s="133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1"/>
      <c r="S264" s="100">
        <f t="shared" ref="S264:AB264" si="156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00">
        <f t="shared" si="156"/>
        <v>0</v>
      </c>
      <c r="U264" s="100">
        <f t="shared" si="156"/>
        <v>0</v>
      </c>
      <c r="V264" s="100">
        <f t="shared" si="156"/>
        <v>0</v>
      </c>
      <c r="W264" s="100">
        <f t="shared" si="156"/>
        <v>0</v>
      </c>
      <c r="X264" s="100">
        <f t="shared" si="156"/>
        <v>0</v>
      </c>
      <c r="Y264" s="100">
        <f t="shared" si="156"/>
        <v>0</v>
      </c>
      <c r="Z264" s="100">
        <f t="shared" si="156"/>
        <v>0</v>
      </c>
      <c r="AA264" s="100">
        <f t="shared" si="156"/>
        <v>0</v>
      </c>
      <c r="AB264" s="100">
        <f t="shared" si="156"/>
        <v>0</v>
      </c>
    </row>
    <row r="265" spans="1:32" s="68" customFormat="1" hidden="1" x14ac:dyDescent="0.2">
      <c r="A265" s="133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1"/>
      <c r="S265" s="100">
        <f t="shared" ref="S265:AB265" si="157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0</v>
      </c>
      <c r="T265" s="100">
        <f t="shared" si="157"/>
        <v>0</v>
      </c>
      <c r="U265" s="100">
        <f t="shared" si="157"/>
        <v>0</v>
      </c>
      <c r="V265" s="100">
        <f t="shared" si="157"/>
        <v>0</v>
      </c>
      <c r="W265" s="100">
        <f t="shared" si="157"/>
        <v>0</v>
      </c>
      <c r="X265" s="100">
        <f t="shared" si="157"/>
        <v>0</v>
      </c>
      <c r="Y265" s="100">
        <f t="shared" si="157"/>
        <v>0</v>
      </c>
      <c r="Z265" s="100">
        <f t="shared" si="157"/>
        <v>0</v>
      </c>
      <c r="AA265" s="100">
        <f t="shared" si="157"/>
        <v>0</v>
      </c>
      <c r="AB265" s="100">
        <f t="shared" si="157"/>
        <v>0</v>
      </c>
    </row>
    <row r="266" spans="1:32" ht="13.15" hidden="1" x14ac:dyDescent="0.25">
      <c r="A266" s="114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9">
        <v>0</v>
      </c>
      <c r="S266" s="85"/>
      <c r="T266" s="85"/>
      <c r="U266" s="86"/>
      <c r="V266" s="86"/>
      <c r="W266" s="86"/>
    </row>
    <row r="267" spans="1:32" ht="13.15" hidden="1" x14ac:dyDescent="0.25">
      <c r="A267" s="114" t="str">
        <f>IF(C267="","",MAX(A$207:A266)+1)</f>
        <v/>
      </c>
      <c r="B267" s="1" t="str">
        <f>IFERROR(VLOOKUP($C267,Таблица!$B$501:$E$541,2,FALSE),"")</f>
        <v/>
      </c>
      <c r="C267" s="48"/>
      <c r="D267" s="48"/>
      <c r="E267" s="1"/>
      <c r="F267" s="1"/>
      <c r="G267" s="32"/>
      <c r="H267" s="1"/>
      <c r="I267" s="1"/>
      <c r="J267" s="1" t="str">
        <f t="shared" si="149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8">IF(E267="",1,E267)*IF(F267="",1,F267)*IF(G267="",1,G267)*IF(H267="",1,H267)*IF(I267="",1,I267)</f>
        <v>1</v>
      </c>
      <c r="P267" s="42"/>
      <c r="Q267" s="1" t="str">
        <f>IF(OR(AND(ISERROR(VLOOKUP($C267,Таблица!$B$501:$E$541,2,FALSE)),$C267&lt;&gt;""),P267&lt;&gt;""),"√","")</f>
        <v/>
      </c>
      <c r="R267" s="249">
        <f>IFERROR(ROUND(K267*IF(P267="",N267*O267,P267*O267),2),0)</f>
        <v>0</v>
      </c>
      <c r="S267" s="62">
        <f t="shared" ref="S267:W270" ca="1" si="159">ROUND($AC267*S$206%,2)</f>
        <v>0</v>
      </c>
      <c r="T267" s="62">
        <f t="shared" ca="1" si="159"/>
        <v>0</v>
      </c>
      <c r="U267" s="84">
        <f t="shared" ca="1" si="159"/>
        <v>0</v>
      </c>
      <c r="V267" s="84">
        <f t="shared" ca="1" si="159"/>
        <v>0</v>
      </c>
      <c r="W267" s="84">
        <f t="shared" ca="1" si="159"/>
        <v>0</v>
      </c>
      <c r="X267" s="88">
        <f t="shared" ref="X267:AB270" ca="1" si="160">IF($R267="",0,ROUND($R267*X$206*(1+$K$279),2))</f>
        <v>0</v>
      </c>
      <c r="Y267" s="88">
        <f t="shared" ca="1" si="160"/>
        <v>0</v>
      </c>
      <c r="Z267" s="88">
        <f t="shared" ca="1" si="160"/>
        <v>0</v>
      </c>
      <c r="AA267" s="88">
        <f t="shared" ca="1" si="160"/>
        <v>0</v>
      </c>
      <c r="AB267" s="88">
        <f t="shared" ca="1" si="160"/>
        <v>0</v>
      </c>
      <c r="AC267" s="139">
        <f ca="1">IFERROR(ROUND(R267*(1+$K$279),2)+SUM(X267:AB267),0)</f>
        <v>0</v>
      </c>
      <c r="AF267" s="85"/>
    </row>
    <row r="268" spans="1:32" ht="13.15" hidden="1" x14ac:dyDescent="0.25">
      <c r="A268" s="114" t="str">
        <f>IF(C268="","",MAX(A$207:A267)+1)</f>
        <v/>
      </c>
      <c r="B268" s="1" t="str">
        <f>IFERROR(VLOOKUP($C268,Таблица!$B$501:$E$541,2,FALSE),"")</f>
        <v/>
      </c>
      <c r="C268" s="31"/>
      <c r="D268" s="31"/>
      <c r="E268" s="1"/>
      <c r="F268" s="1"/>
      <c r="G268" s="32"/>
      <c r="H268" s="1"/>
      <c r="I268" s="1"/>
      <c r="J268" s="1" t="str">
        <f t="shared" si="149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1">IF(E268="",1,E268)*IF(F268="",1,F268)*IF(G268="",1,G268)*IF(H268="",1,H268)*IF(I268="",1,I268)</f>
        <v>1</v>
      </c>
      <c r="P268" s="42"/>
      <c r="Q268" s="1" t="str">
        <f>IF(OR(AND(ISERROR(VLOOKUP($C268,Таблица!$B$501:$E$541,2,FALSE)),$C268&lt;&gt;""),P268&lt;&gt;""),"√","")</f>
        <v/>
      </c>
      <c r="R268" s="249">
        <f t="shared" ref="R268:R270" si="162">IFERROR(ROUND(K268*IF(P268="",N268*O268,P268*O268),2),0)</f>
        <v>0</v>
      </c>
      <c r="S268" s="62">
        <f t="shared" ca="1" si="159"/>
        <v>0</v>
      </c>
      <c r="T268" s="62">
        <f t="shared" ca="1" si="159"/>
        <v>0</v>
      </c>
      <c r="U268" s="84">
        <f t="shared" ca="1" si="159"/>
        <v>0</v>
      </c>
      <c r="V268" s="84">
        <f t="shared" ca="1" si="159"/>
        <v>0</v>
      </c>
      <c r="W268" s="84">
        <f t="shared" ca="1" si="159"/>
        <v>0</v>
      </c>
      <c r="X268" s="88">
        <f t="shared" ca="1" si="160"/>
        <v>0</v>
      </c>
      <c r="Y268" s="88">
        <f t="shared" ca="1" si="160"/>
        <v>0</v>
      </c>
      <c r="Z268" s="88">
        <f t="shared" ca="1" si="160"/>
        <v>0</v>
      </c>
      <c r="AA268" s="88">
        <f t="shared" ca="1" si="160"/>
        <v>0</v>
      </c>
      <c r="AB268" s="88">
        <f t="shared" ca="1" si="160"/>
        <v>0</v>
      </c>
      <c r="AC268" s="139">
        <f ca="1">IFERROR(ROUND(R268*(1+$K$279),2)+SUM(X268:AB268),0)</f>
        <v>0</v>
      </c>
      <c r="AF268" s="85"/>
    </row>
    <row r="269" spans="1:32" ht="13.15" hidden="1" x14ac:dyDescent="0.25">
      <c r="A269" s="114" t="str">
        <f>IF(C269="","",MAX(A$207:A268)+1)</f>
        <v/>
      </c>
      <c r="B269" s="1" t="str">
        <f>IFERROR(VLOOKUP($C269,Таблица!$B$501:$E$541,2,FALSE),"")</f>
        <v/>
      </c>
      <c r="C269" s="31"/>
      <c r="D269" s="31"/>
      <c r="E269" s="1"/>
      <c r="F269" s="1"/>
      <c r="G269" s="50"/>
      <c r="H269" s="1"/>
      <c r="I269" s="1"/>
      <c r="J269" s="1" t="str">
        <f t="shared" si="149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1"/>
        <v>1</v>
      </c>
      <c r="P269" s="42"/>
      <c r="Q269" s="1" t="str">
        <f>IF(OR(AND(ISERROR(VLOOKUP($C269,Таблица!$B$501:$E$541,2,FALSE)),$C269&lt;&gt;""),P269&lt;&gt;""),"√","")</f>
        <v/>
      </c>
      <c r="R269" s="249">
        <f t="shared" si="162"/>
        <v>0</v>
      </c>
      <c r="S269" s="62">
        <f t="shared" ca="1" si="159"/>
        <v>0</v>
      </c>
      <c r="T269" s="62">
        <f t="shared" ca="1" si="159"/>
        <v>0</v>
      </c>
      <c r="U269" s="84">
        <f t="shared" ca="1" si="159"/>
        <v>0</v>
      </c>
      <c r="V269" s="84">
        <f t="shared" ca="1" si="159"/>
        <v>0</v>
      </c>
      <c r="W269" s="84">
        <f t="shared" ca="1" si="159"/>
        <v>0</v>
      </c>
      <c r="X269" s="88">
        <f t="shared" ca="1" si="160"/>
        <v>0</v>
      </c>
      <c r="Y269" s="88">
        <f t="shared" ca="1" si="160"/>
        <v>0</v>
      </c>
      <c r="Z269" s="88">
        <f t="shared" ca="1" si="160"/>
        <v>0</v>
      </c>
      <c r="AA269" s="88">
        <f t="shared" ca="1" si="160"/>
        <v>0</v>
      </c>
      <c r="AB269" s="88">
        <f t="shared" ca="1" si="160"/>
        <v>0</v>
      </c>
      <c r="AC269" s="139">
        <f ca="1">IFERROR(ROUND(R269*(1+$K$279),2)+SUM(X269:AB269),0)</f>
        <v>0</v>
      </c>
      <c r="AF269" s="85"/>
    </row>
    <row r="270" spans="1:32" ht="13.15" hidden="1" x14ac:dyDescent="0.25">
      <c r="A270" s="114" t="str">
        <f>IF(C270="","",MAX(A$207:A269)+1)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50"/>
      <c r="H270" s="1"/>
      <c r="I270" s="1"/>
      <c r="J270" s="1" t="str">
        <f t="shared" si="149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1"/>
        <v>1</v>
      </c>
      <c r="P270" s="42"/>
      <c r="Q270" s="1" t="str">
        <f>IF(OR(AND(ISERROR(VLOOKUP($C270,Таблица!$B$501:$E$541,2,FALSE)),$C270&lt;&gt;""),P270&lt;&gt;""),"√","")</f>
        <v/>
      </c>
      <c r="R270" s="249">
        <f t="shared" si="162"/>
        <v>0</v>
      </c>
      <c r="S270" s="62">
        <f t="shared" ca="1" si="159"/>
        <v>0</v>
      </c>
      <c r="T270" s="62">
        <f t="shared" ca="1" si="159"/>
        <v>0</v>
      </c>
      <c r="U270" s="84">
        <f t="shared" ca="1" si="159"/>
        <v>0</v>
      </c>
      <c r="V270" s="84">
        <f t="shared" ca="1" si="159"/>
        <v>0</v>
      </c>
      <c r="W270" s="84">
        <f t="shared" ca="1" si="159"/>
        <v>0</v>
      </c>
      <c r="X270" s="88">
        <f t="shared" ca="1" si="160"/>
        <v>0</v>
      </c>
      <c r="Y270" s="88">
        <f t="shared" ca="1" si="160"/>
        <v>0</v>
      </c>
      <c r="Z270" s="88">
        <f t="shared" ca="1" si="160"/>
        <v>0</v>
      </c>
      <c r="AA270" s="88">
        <f t="shared" ca="1" si="160"/>
        <v>0</v>
      </c>
      <c r="AB270" s="88">
        <f t="shared" ca="1" si="160"/>
        <v>0</v>
      </c>
      <c r="AC270" s="139">
        <f ca="1">IFERROR(ROUND(R270*(1+$K$279),2)+SUM(X270:AB270),0)</f>
        <v>0</v>
      </c>
      <c r="AF270" s="85"/>
    </row>
    <row r="271" spans="1:32" ht="13.15" hidden="1" x14ac:dyDescent="0.25">
      <c r="A271" s="114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9">
        <v>0</v>
      </c>
      <c r="S271" s="85"/>
      <c r="T271" s="85"/>
      <c r="U271" s="86"/>
      <c r="V271" s="86"/>
      <c r="W271" s="86"/>
    </row>
    <row r="272" spans="1:32" ht="13.15" hidden="1" x14ac:dyDescent="0.25">
      <c r="A272" s="114" t="str">
        <f>IF(C272="","",MAX(A$207:A271)+1)</f>
        <v/>
      </c>
      <c r="B272" s="1" t="str">
        <f>IFERROR(VLOOKUP($C272,Таблица!$B$544:$E$559,2,FALSE),"")</f>
        <v/>
      </c>
      <c r="C272" s="31"/>
      <c r="D272" s="31"/>
      <c r="E272" s="1"/>
      <c r="F272" s="1"/>
      <c r="G272" s="32"/>
      <c r="H272" s="1"/>
      <c r="I272" s="1"/>
      <c r="J272" s="1" t="str">
        <f t="shared" si="149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2"/>
      <c r="Q272" s="1" t="str">
        <f>IF(OR(AND(ISERROR(VLOOKUP($C272,Таблица!$B$544:$E$559,2,FALSE)),$C272&lt;&gt;""),P272&lt;&gt;""),"√","")</f>
        <v/>
      </c>
      <c r="R272" s="249">
        <f>IFERROR(ROUND(K272*IF(P272="",N272*O272,P272*O272),2),0)</f>
        <v>0</v>
      </c>
      <c r="S272" s="62">
        <f t="shared" ref="S272:W273" ca="1" si="163">ROUND($AC272*S$206%,2)</f>
        <v>0</v>
      </c>
      <c r="T272" s="62">
        <f t="shared" ca="1" si="163"/>
        <v>0</v>
      </c>
      <c r="U272" s="84">
        <f t="shared" ca="1" si="163"/>
        <v>0</v>
      </c>
      <c r="V272" s="84">
        <f t="shared" ca="1" si="163"/>
        <v>0</v>
      </c>
      <c r="W272" s="84">
        <f t="shared" ca="1" si="163"/>
        <v>0</v>
      </c>
      <c r="X272" s="88">
        <f t="shared" ref="X272:AB273" ca="1" si="164">IF($R272="",0,ROUND($R272*X$206*(1+$K$279),2))</f>
        <v>0</v>
      </c>
      <c r="Y272" s="88">
        <f t="shared" ca="1" si="164"/>
        <v>0</v>
      </c>
      <c r="Z272" s="88">
        <f t="shared" ca="1" si="164"/>
        <v>0</v>
      </c>
      <c r="AA272" s="88">
        <f t="shared" ca="1" si="164"/>
        <v>0</v>
      </c>
      <c r="AB272" s="88">
        <f t="shared" ca="1" si="164"/>
        <v>0</v>
      </c>
      <c r="AC272" s="139">
        <f ca="1">IFERROR(ROUND(R272*(1+$K$279),2)+SUM(X272:AB272),0)</f>
        <v>0</v>
      </c>
      <c r="AE272" s="85"/>
      <c r="AF272" s="85"/>
    </row>
    <row r="273" spans="1:32" ht="13.15" hidden="1" x14ac:dyDescent="0.25">
      <c r="A273" s="114" t="str">
        <f>IF(C273="","",MAX(A$207:A272)+1)</f>
        <v/>
      </c>
      <c r="B273" s="1" t="str">
        <f>IFERROR(VLOOKUP($C273,Таблица!$B$544:$E$559,2,FALSE),"")</f>
        <v/>
      </c>
      <c r="C273" s="31"/>
      <c r="D273" s="31"/>
      <c r="E273" s="1"/>
      <c r="F273" s="1"/>
      <c r="G273" s="32"/>
      <c r="H273" s="1"/>
      <c r="I273" s="1"/>
      <c r="J273" s="1" t="str">
        <f t="shared" si="149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2"/>
      <c r="Q273" s="1" t="str">
        <f>IF(OR(AND(ISERROR(VLOOKUP($C273,Таблица!$B$544:$E$559,2,FALSE)),$C273&lt;&gt;""),P273&lt;&gt;""),"√","")</f>
        <v/>
      </c>
      <c r="R273" s="249">
        <f>IFERROR(ROUND(K273*IF(P273="",N273*O273,P273*O273),2),0)</f>
        <v>0</v>
      </c>
      <c r="S273" s="62">
        <f t="shared" ca="1" si="163"/>
        <v>0</v>
      </c>
      <c r="T273" s="62">
        <f t="shared" ca="1" si="163"/>
        <v>0</v>
      </c>
      <c r="U273" s="84">
        <f t="shared" ca="1" si="163"/>
        <v>0</v>
      </c>
      <c r="V273" s="84">
        <f t="shared" ca="1" si="163"/>
        <v>0</v>
      </c>
      <c r="W273" s="84">
        <f t="shared" ca="1" si="163"/>
        <v>0</v>
      </c>
      <c r="X273" s="88">
        <f t="shared" ca="1" si="164"/>
        <v>0</v>
      </c>
      <c r="Y273" s="88">
        <f t="shared" ca="1" si="164"/>
        <v>0</v>
      </c>
      <c r="Z273" s="88">
        <f t="shared" ca="1" si="164"/>
        <v>0</v>
      </c>
      <c r="AA273" s="88">
        <f t="shared" ca="1" si="164"/>
        <v>0</v>
      </c>
      <c r="AB273" s="88">
        <f t="shared" ca="1" si="164"/>
        <v>0</v>
      </c>
      <c r="AC273" s="139">
        <f ca="1">IFERROR(ROUND(R273*(1+$K$279),2)+SUM(X273:AB273),0)</f>
        <v>0</v>
      </c>
      <c r="AE273" s="85"/>
      <c r="AF273" s="85"/>
    </row>
    <row r="274" spans="1:32" ht="13.15" hidden="1" x14ac:dyDescent="0.25">
      <c r="A274" s="114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9">
        <v>0</v>
      </c>
      <c r="S274" s="85"/>
      <c r="T274" s="85"/>
      <c r="U274" s="86"/>
      <c r="V274" s="86"/>
      <c r="W274" s="86"/>
    </row>
    <row r="275" spans="1:32" ht="13.15" hidden="1" x14ac:dyDescent="0.25">
      <c r="A275" s="114" t="str">
        <f>IF(C275="","",MAX(A$207:A274)+1)</f>
        <v/>
      </c>
      <c r="B275" s="1" t="str">
        <f>IFERROR(VLOOKUP($C275,Таблица!$B$562:$E$609,2,FALSE),"")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9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65">IF(E275="",1,E275)*IF(F275="",1,F275)*IF(G275="",1,G275)*IF(H275="",1,H275)*IF(I275="",1,I275)</f>
        <v>1</v>
      </c>
      <c r="P275" s="42"/>
      <c r="Q275" s="1" t="str">
        <f>IF(OR(AND(ISERROR(VLOOKUP($C275,Таблица!$B$562:$E$609,2,FALSE)),$C275&lt;&gt;""),P275&lt;&gt;""),"√","")</f>
        <v/>
      </c>
      <c r="R275" s="249">
        <f>IFERROR(ROUND(K275*IF(P275="",N275*O275,P275*O275),2),0)</f>
        <v>0</v>
      </c>
      <c r="S275" s="62">
        <f t="shared" ref="S275:W278" ca="1" si="166">ROUND($AC275*S$206%,2)</f>
        <v>0</v>
      </c>
      <c r="T275" s="62">
        <f t="shared" ca="1" si="166"/>
        <v>0</v>
      </c>
      <c r="U275" s="84">
        <f t="shared" ca="1" si="166"/>
        <v>0</v>
      </c>
      <c r="V275" s="84">
        <f t="shared" ca="1" si="166"/>
        <v>0</v>
      </c>
      <c r="W275" s="84">
        <f t="shared" ca="1" si="166"/>
        <v>0</v>
      </c>
      <c r="X275" s="88">
        <f t="shared" ref="X275:AB278" ca="1" si="167">IF($R275="",0,ROUND($R275*X$206*(1+$K$279),2))</f>
        <v>0</v>
      </c>
      <c r="Y275" s="88">
        <f t="shared" ca="1" si="167"/>
        <v>0</v>
      </c>
      <c r="Z275" s="88">
        <f t="shared" ca="1" si="167"/>
        <v>0</v>
      </c>
      <c r="AA275" s="88">
        <f t="shared" ca="1" si="167"/>
        <v>0</v>
      </c>
      <c r="AB275" s="88">
        <f t="shared" ca="1" si="167"/>
        <v>0</v>
      </c>
      <c r="AC275" s="139">
        <f ca="1">IFERROR(ROUND(R275*(1+$K$279),2)+SUM(X275:AB275),0)</f>
        <v>0</v>
      </c>
      <c r="AE275" s="85"/>
      <c r="AF275" s="85"/>
    </row>
    <row r="276" spans="1:32" ht="13.15" hidden="1" x14ac:dyDescent="0.25">
      <c r="A276" s="114" t="str">
        <f>IF(C276="","",MAX(A$207:A275)+1)</f>
        <v/>
      </c>
      <c r="B276" s="1" t="str">
        <f>IFERROR(VLOOKUP($C276,Таблица!$B$562:$E$609,2,FALSE),"")</f>
        <v/>
      </c>
      <c r="C276" s="31"/>
      <c r="D276" s="31"/>
      <c r="E276" s="1"/>
      <c r="F276" s="1"/>
      <c r="G276" s="32"/>
      <c r="H276" s="1"/>
      <c r="I276" s="1"/>
      <c r="J276" s="1" t="str">
        <f t="shared" si="149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68">IF(E276="",1,E276)*IF(F276="",1,F276)*IF(G276="",1,G276)*IF(H276="",1,H276)*IF(I276="",1,I276)</f>
        <v>1</v>
      </c>
      <c r="P276" s="42"/>
      <c r="Q276" s="1" t="str">
        <f>IF(OR(AND(ISERROR(VLOOKUP($C276,Таблица!$B$562:$E$609,2,FALSE)),$C276&lt;&gt;""),P276&lt;&gt;""),"√","")</f>
        <v/>
      </c>
      <c r="R276" s="249">
        <f t="shared" ref="R276:R278" si="169">IFERROR(ROUND(K276*IF(P276="",N276*O276,P276*O276),2),0)</f>
        <v>0</v>
      </c>
      <c r="S276" s="62">
        <f t="shared" ca="1" si="166"/>
        <v>0</v>
      </c>
      <c r="T276" s="62">
        <f t="shared" ca="1" si="166"/>
        <v>0</v>
      </c>
      <c r="U276" s="84">
        <f t="shared" ca="1" si="166"/>
        <v>0</v>
      </c>
      <c r="V276" s="84">
        <f t="shared" ca="1" si="166"/>
        <v>0</v>
      </c>
      <c r="W276" s="84">
        <f t="shared" ca="1" si="166"/>
        <v>0</v>
      </c>
      <c r="X276" s="88">
        <f t="shared" ca="1" si="167"/>
        <v>0</v>
      </c>
      <c r="Y276" s="88">
        <f t="shared" ca="1" si="167"/>
        <v>0</v>
      </c>
      <c r="Z276" s="88">
        <f t="shared" ca="1" si="167"/>
        <v>0</v>
      </c>
      <c r="AA276" s="88">
        <f t="shared" ca="1" si="167"/>
        <v>0</v>
      </c>
      <c r="AB276" s="88">
        <f t="shared" ca="1" si="167"/>
        <v>0</v>
      </c>
      <c r="AC276" s="139">
        <f ca="1">IFERROR(ROUND(R276*(1+$K$279),2)+SUM(X276:AB276),0)</f>
        <v>0</v>
      </c>
      <c r="AE276" s="85"/>
      <c r="AF276" s="85"/>
    </row>
    <row r="277" spans="1:32" ht="13.15" hidden="1" x14ac:dyDescent="0.25">
      <c r="A277" s="114" t="str">
        <f>IF(C277="","",MAX(A$207:A276)+1)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9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68"/>
        <v>1</v>
      </c>
      <c r="P277" s="42"/>
      <c r="Q277" s="1" t="str">
        <f>IF(OR(AND(ISERROR(VLOOKUP($C277,Таблица!$B$562:$E$609,2,FALSE)),$C277&lt;&gt;""),P277&lt;&gt;""),"√","")</f>
        <v/>
      </c>
      <c r="R277" s="249">
        <f t="shared" si="169"/>
        <v>0</v>
      </c>
      <c r="S277" s="62">
        <f t="shared" ca="1" si="166"/>
        <v>0</v>
      </c>
      <c r="T277" s="62">
        <f t="shared" ca="1" si="166"/>
        <v>0</v>
      </c>
      <c r="U277" s="84">
        <f t="shared" ca="1" si="166"/>
        <v>0</v>
      </c>
      <c r="V277" s="84">
        <f t="shared" ca="1" si="166"/>
        <v>0</v>
      </c>
      <c r="W277" s="84">
        <f t="shared" ca="1" si="166"/>
        <v>0</v>
      </c>
      <c r="X277" s="88">
        <f t="shared" ca="1" si="167"/>
        <v>0</v>
      </c>
      <c r="Y277" s="88">
        <f t="shared" ca="1" si="167"/>
        <v>0</v>
      </c>
      <c r="Z277" s="88">
        <f t="shared" ca="1" si="167"/>
        <v>0</v>
      </c>
      <c r="AA277" s="88">
        <f t="shared" ca="1" si="167"/>
        <v>0</v>
      </c>
      <c r="AB277" s="88">
        <f t="shared" ca="1" si="167"/>
        <v>0</v>
      </c>
      <c r="AC277" s="139">
        <f ca="1">IFERROR(ROUND(R277*(1+$K$279),2)+SUM(X277:AB277),0)</f>
        <v>0</v>
      </c>
      <c r="AE277" s="85"/>
      <c r="AF277" s="85"/>
    </row>
    <row r="278" spans="1:32" ht="13.15" hidden="1" x14ac:dyDescent="0.25">
      <c r="A278" s="114" t="str">
        <f>IF(C278="","",MAX(A$207:A277)+1)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9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0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49">
        <f t="shared" si="169"/>
        <v>0</v>
      </c>
      <c r="S278" s="62">
        <f t="shared" ca="1" si="166"/>
        <v>0</v>
      </c>
      <c r="T278" s="62">
        <f t="shared" ca="1" si="166"/>
        <v>0</v>
      </c>
      <c r="U278" s="84">
        <f t="shared" ca="1" si="166"/>
        <v>0</v>
      </c>
      <c r="V278" s="84">
        <f t="shared" ca="1" si="166"/>
        <v>0</v>
      </c>
      <c r="W278" s="84">
        <f t="shared" ca="1" si="166"/>
        <v>0</v>
      </c>
      <c r="X278" s="88">
        <f t="shared" ca="1" si="167"/>
        <v>0</v>
      </c>
      <c r="Y278" s="88">
        <f t="shared" ca="1" si="167"/>
        <v>0</v>
      </c>
      <c r="Z278" s="88">
        <f t="shared" ca="1" si="167"/>
        <v>0</v>
      </c>
      <c r="AA278" s="88">
        <f t="shared" ca="1" si="167"/>
        <v>0</v>
      </c>
      <c r="AB278" s="88">
        <f t="shared" ca="1" si="167"/>
        <v>0</v>
      </c>
      <c r="AC278" s="139">
        <f ca="1">IFERROR(ROUND(R278*(1+$K$279),2)+SUM(X278:AB278),0)</f>
        <v>0</v>
      </c>
      <c r="AE278" s="85"/>
      <c r="AF278" s="85"/>
    </row>
    <row r="279" spans="1:32" ht="13.15" hidden="1" x14ac:dyDescent="0.25">
      <c r="A279" s="114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49">
        <f>ROUND(SUM(R255:R278)*K279,2)</f>
        <v>0</v>
      </c>
      <c r="S279" s="85"/>
      <c r="T279" s="85"/>
      <c r="U279" s="86"/>
      <c r="V279" s="86"/>
      <c r="W279" s="86"/>
      <c r="Z279" s="143"/>
    </row>
    <row r="280" spans="1:32" s="68" customFormat="1" hidden="1" x14ac:dyDescent="0.2">
      <c r="A280" s="133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1"/>
      <c r="S280" s="100">
        <f t="shared" ref="S280:AB280" si="171">SUMIF($M$267:$M$278,"&lt;=20",S$267:S$278)</f>
        <v>0</v>
      </c>
      <c r="T280" s="100">
        <f t="shared" si="171"/>
        <v>0</v>
      </c>
      <c r="U280" s="100">
        <f t="shared" si="171"/>
        <v>0</v>
      </c>
      <c r="V280" s="100">
        <f t="shared" si="171"/>
        <v>0</v>
      </c>
      <c r="W280" s="100">
        <f t="shared" si="171"/>
        <v>0</v>
      </c>
      <c r="X280" s="100">
        <f t="shared" si="171"/>
        <v>0</v>
      </c>
      <c r="Y280" s="100">
        <f t="shared" si="171"/>
        <v>0</v>
      </c>
      <c r="Z280" s="100">
        <f t="shared" si="171"/>
        <v>0</v>
      </c>
      <c r="AA280" s="100">
        <f t="shared" si="171"/>
        <v>0</v>
      </c>
      <c r="AB280" s="100">
        <f t="shared" si="171"/>
        <v>0</v>
      </c>
    </row>
    <row r="281" spans="1:32" s="68" customFormat="1" hidden="1" x14ac:dyDescent="0.2">
      <c r="A281" s="133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1"/>
      <c r="S281" s="100">
        <f>SUMIF($M$267:$M$278,"&lt;=35",S$267:S$278)-S280</f>
        <v>0</v>
      </c>
      <c r="T281" s="100">
        <f t="shared" ref="T281:AB281" si="172">SUMIF($M$267:$M$278,"&lt;=35",T$267:T$278)-T280</f>
        <v>0</v>
      </c>
      <c r="U281" s="100">
        <f t="shared" si="172"/>
        <v>0</v>
      </c>
      <c r="V281" s="100">
        <f t="shared" si="172"/>
        <v>0</v>
      </c>
      <c r="W281" s="100">
        <f t="shared" si="172"/>
        <v>0</v>
      </c>
      <c r="X281" s="100">
        <f t="shared" si="172"/>
        <v>0</v>
      </c>
      <c r="Y281" s="100">
        <f t="shared" si="172"/>
        <v>0</v>
      </c>
      <c r="Z281" s="100">
        <f t="shared" si="172"/>
        <v>0</v>
      </c>
      <c r="AA281" s="100">
        <f t="shared" si="172"/>
        <v>0</v>
      </c>
      <c r="AB281" s="100">
        <f t="shared" si="172"/>
        <v>0</v>
      </c>
    </row>
    <row r="282" spans="1:32" s="68" customFormat="1" hidden="1" x14ac:dyDescent="0.2">
      <c r="A282" s="133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1"/>
      <c r="S282" s="100">
        <f t="shared" ref="S282:AB282" si="173">SUMIF($M$267:$M$278,"&gt;=110",S$267:S$278)</f>
        <v>0</v>
      </c>
      <c r="T282" s="100">
        <f t="shared" si="173"/>
        <v>0</v>
      </c>
      <c r="U282" s="100">
        <f t="shared" si="173"/>
        <v>0</v>
      </c>
      <c r="V282" s="100">
        <f t="shared" si="173"/>
        <v>0</v>
      </c>
      <c r="W282" s="100">
        <f t="shared" si="173"/>
        <v>0</v>
      </c>
      <c r="X282" s="100">
        <f t="shared" si="173"/>
        <v>0</v>
      </c>
      <c r="Y282" s="100">
        <f t="shared" si="173"/>
        <v>0</v>
      </c>
      <c r="Z282" s="100">
        <f t="shared" si="173"/>
        <v>0</v>
      </c>
      <c r="AA282" s="100">
        <f t="shared" si="173"/>
        <v>0</v>
      </c>
      <c r="AB282" s="100">
        <f t="shared" si="173"/>
        <v>0</v>
      </c>
    </row>
    <row r="283" spans="1:32" ht="13.15" hidden="1" x14ac:dyDescent="0.25">
      <c r="A283" s="114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9">
        <v>0</v>
      </c>
      <c r="S283" s="85"/>
      <c r="T283" s="85"/>
      <c r="U283" s="86"/>
      <c r="V283" s="86"/>
      <c r="W283" s="86"/>
    </row>
    <row r="284" spans="1:32" ht="13.15" hidden="1" x14ac:dyDescent="0.25">
      <c r="A284" s="114" t="str">
        <f>IF(C284="","",MAX(A$207:A283)+1)</f>
        <v/>
      </c>
      <c r="B284" s="1" t="str">
        <f>IFERROR(VLOOKUP($C284,Таблица!$B$612:$E$663,2,FALSE),"")</f>
        <v/>
      </c>
      <c r="C284" s="31"/>
      <c r="D284" s="31"/>
      <c r="E284" s="1"/>
      <c r="F284" s="1"/>
      <c r="G284" s="50"/>
      <c r="H284" s="1"/>
      <c r="I284" s="1"/>
      <c r="J284" s="1" t="str">
        <f t="shared" ref="J284:J289" si="17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75">IF(E284="",1,E284)*IF(F284="",1,F284)*IF(G284="",1,G284)*IF(H284="",1,H284)*IF(I284="",1,I284)</f>
        <v>1</v>
      </c>
      <c r="P284" s="51"/>
      <c r="Q284" s="1" t="str">
        <f>IF(OR(AND(ISERROR(VLOOKUP($C284,Таблица!$B$612:$E$663,2,FALSE)),$C284&lt;&gt;""),P284&lt;&gt;""),"√","")</f>
        <v/>
      </c>
      <c r="R284" s="249">
        <f>IFERROR(ROUND(K284*IF(P284="",N284*O284,P284*O284),2),0)</f>
        <v>0</v>
      </c>
      <c r="S284" s="62">
        <f t="shared" ref="S284:W289" ca="1" si="176">ROUND($AC284*S$206%,2)</f>
        <v>0</v>
      </c>
      <c r="T284" s="62">
        <f t="shared" ca="1" si="176"/>
        <v>0</v>
      </c>
      <c r="U284" s="84">
        <f t="shared" ca="1" si="176"/>
        <v>0</v>
      </c>
      <c r="V284" s="84">
        <f t="shared" ca="1" si="176"/>
        <v>0</v>
      </c>
      <c r="W284" s="84">
        <f t="shared" ca="1" si="176"/>
        <v>0</v>
      </c>
      <c r="X284" s="88">
        <f ca="1">IF($R284="",0,ROUND($R284*X$206,2))</f>
        <v>0</v>
      </c>
      <c r="Y284" s="88">
        <f t="shared" ref="Y284:AB289" ca="1" si="177">IF($R284="",0,ROUND($R284*Y$206,2))</f>
        <v>0</v>
      </c>
      <c r="Z284" s="88">
        <f t="shared" ca="1" si="177"/>
        <v>0</v>
      </c>
      <c r="AA284" s="88">
        <f t="shared" ca="1" si="177"/>
        <v>0</v>
      </c>
      <c r="AB284" s="88">
        <f t="shared" ca="1" si="177"/>
        <v>0</v>
      </c>
      <c r="AC284" s="139">
        <f ca="1">IFERROR(R284+SUM(X284:AB284),0)</f>
        <v>0</v>
      </c>
      <c r="AE284" s="85"/>
      <c r="AF284" s="85"/>
    </row>
    <row r="285" spans="1:32" ht="13.15" hidden="1" x14ac:dyDescent="0.25">
      <c r="A285" s="114" t="str">
        <f>IF(C285="","",MAX(A$207:A284)+1)</f>
        <v/>
      </c>
      <c r="B285" s="1" t="str">
        <f>IFERROR(VLOOKUP($C285,Таблица!$B$612:$E$663,2,FALSE),"")</f>
        <v/>
      </c>
      <c r="C285" s="31"/>
      <c r="D285" s="31"/>
      <c r="E285" s="1"/>
      <c r="F285" s="1"/>
      <c r="G285" s="50"/>
      <c r="H285" s="1"/>
      <c r="I285" s="1"/>
      <c r="J285" s="1" t="str">
        <f t="shared" si="174"/>
        <v/>
      </c>
      <c r="K285" s="64"/>
      <c r="L285" s="1">
        <f>IFERROR(VLOOKUP($C285,Таблица!$B$612:$K$663,3,FALSE),0)</f>
        <v>0</v>
      </c>
      <c r="M285" s="5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78">IF(E285="",1,E285)*IF(F285="",1,F285)*IF(G285="",1,G285)*IF(H285="",1,H285)*IF(I285="",1,I285)</f>
        <v>1</v>
      </c>
      <c r="P285" s="51"/>
      <c r="Q285" s="1" t="str">
        <f>IF(OR(AND(ISERROR(VLOOKUP($C285,Таблица!$B$612:$E$663,2,FALSE)),$C285&lt;&gt;""),P285&lt;&gt;""),"√","")</f>
        <v/>
      </c>
      <c r="R285" s="249">
        <f t="shared" ref="R285:R289" si="179">IFERROR(ROUND(K285*IF(P285="",N285*O285,P285*O285),2),0)</f>
        <v>0</v>
      </c>
      <c r="S285" s="62">
        <f t="shared" ca="1" si="176"/>
        <v>0</v>
      </c>
      <c r="T285" s="62">
        <f t="shared" ca="1" si="176"/>
        <v>0</v>
      </c>
      <c r="U285" s="84">
        <f t="shared" ca="1" si="176"/>
        <v>0</v>
      </c>
      <c r="V285" s="84">
        <f t="shared" ca="1" si="176"/>
        <v>0</v>
      </c>
      <c r="W285" s="84">
        <f t="shared" ca="1" si="176"/>
        <v>0</v>
      </c>
      <c r="X285" s="88">
        <f t="shared" ref="X285:X289" ca="1" si="180">IF($R285="",0,ROUND($R285*X$206,2))</f>
        <v>0</v>
      </c>
      <c r="Y285" s="88">
        <f t="shared" ca="1" si="177"/>
        <v>0</v>
      </c>
      <c r="Z285" s="88">
        <f t="shared" ca="1" si="177"/>
        <v>0</v>
      </c>
      <c r="AA285" s="88">
        <f t="shared" ca="1" si="177"/>
        <v>0</v>
      </c>
      <c r="AB285" s="88">
        <f t="shared" ca="1" si="177"/>
        <v>0</v>
      </c>
      <c r="AC285" s="139">
        <f t="shared" ref="AC285:AC289" ca="1" si="181">IFERROR(R285+SUM(X285:AB285),0)</f>
        <v>0</v>
      </c>
      <c r="AE285" s="85"/>
      <c r="AF285" s="85"/>
    </row>
    <row r="286" spans="1:32" ht="13.15" hidden="1" x14ac:dyDescent="0.25">
      <c r="A286" s="114" t="str">
        <f>IF(C286="","",MAX(A$207:A285)+1)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si="17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82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49">
        <f t="shared" si="179"/>
        <v>0</v>
      </c>
      <c r="S286" s="62">
        <f t="shared" ca="1" si="176"/>
        <v>0</v>
      </c>
      <c r="T286" s="62">
        <f t="shared" ca="1" si="176"/>
        <v>0</v>
      </c>
      <c r="U286" s="84">
        <f t="shared" ca="1" si="176"/>
        <v>0</v>
      </c>
      <c r="V286" s="84">
        <f t="shared" ca="1" si="176"/>
        <v>0</v>
      </c>
      <c r="W286" s="84">
        <f t="shared" ca="1" si="176"/>
        <v>0</v>
      </c>
      <c r="X286" s="88">
        <f t="shared" ca="1" si="180"/>
        <v>0</v>
      </c>
      <c r="Y286" s="88">
        <f t="shared" ca="1" si="177"/>
        <v>0</v>
      </c>
      <c r="Z286" s="88">
        <f t="shared" ca="1" si="177"/>
        <v>0</v>
      </c>
      <c r="AA286" s="88">
        <f t="shared" ca="1" si="177"/>
        <v>0</v>
      </c>
      <c r="AB286" s="88">
        <f t="shared" ca="1" si="177"/>
        <v>0</v>
      </c>
      <c r="AC286" s="139">
        <f t="shared" ca="1" si="181"/>
        <v>0</v>
      </c>
      <c r="AE286" s="85"/>
      <c r="AF286" s="85"/>
    </row>
    <row r="287" spans="1:32" ht="13.15" hidden="1" x14ac:dyDescent="0.25">
      <c r="A287" s="114" t="str">
        <f>IF(C287="","",MAX(A$207:A286)+1)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7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82"/>
        <v>1</v>
      </c>
      <c r="P287" s="51"/>
      <c r="Q287" s="1" t="str">
        <f>IF(OR(AND(ISERROR(VLOOKUP($C287,Таблица!$B$612:$E$663,2,FALSE)),$C287&lt;&gt;""),P287&lt;&gt;""),"√","")</f>
        <v/>
      </c>
      <c r="R287" s="249">
        <f t="shared" si="179"/>
        <v>0</v>
      </c>
      <c r="S287" s="62">
        <f t="shared" ca="1" si="176"/>
        <v>0</v>
      </c>
      <c r="T287" s="62">
        <f t="shared" ca="1" si="176"/>
        <v>0</v>
      </c>
      <c r="U287" s="84">
        <f t="shared" ca="1" si="176"/>
        <v>0</v>
      </c>
      <c r="V287" s="84">
        <f t="shared" ca="1" si="176"/>
        <v>0</v>
      </c>
      <c r="W287" s="84">
        <f t="shared" ca="1" si="176"/>
        <v>0</v>
      </c>
      <c r="X287" s="88">
        <f t="shared" ca="1" si="180"/>
        <v>0</v>
      </c>
      <c r="Y287" s="88">
        <f t="shared" ca="1" si="177"/>
        <v>0</v>
      </c>
      <c r="Z287" s="88">
        <f t="shared" ca="1" si="177"/>
        <v>0</v>
      </c>
      <c r="AA287" s="88">
        <f t="shared" ca="1" si="177"/>
        <v>0</v>
      </c>
      <c r="AB287" s="88">
        <f t="shared" ca="1" si="177"/>
        <v>0</v>
      </c>
      <c r="AC287" s="139">
        <f t="shared" ca="1" si="181"/>
        <v>0</v>
      </c>
      <c r="AE287" s="85"/>
      <c r="AF287" s="85"/>
    </row>
    <row r="288" spans="1:32" ht="13.15" hidden="1" x14ac:dyDescent="0.25">
      <c r="A288" s="114" t="str">
        <f>IF(C288="","",MAX(A$207:A287)+1)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7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78"/>
        <v>1</v>
      </c>
      <c r="P288" s="51"/>
      <c r="Q288" s="1" t="str">
        <f>IF(OR(AND(ISERROR(VLOOKUP($C288,Таблица!$B$612:$E$663,2,FALSE)),$C288&lt;&gt;""),P288&lt;&gt;""),"√","")</f>
        <v/>
      </c>
      <c r="R288" s="249">
        <f t="shared" si="179"/>
        <v>0</v>
      </c>
      <c r="S288" s="62">
        <f t="shared" ca="1" si="176"/>
        <v>0</v>
      </c>
      <c r="T288" s="62">
        <f t="shared" ca="1" si="176"/>
        <v>0</v>
      </c>
      <c r="U288" s="84">
        <f t="shared" ca="1" si="176"/>
        <v>0</v>
      </c>
      <c r="V288" s="84">
        <f t="shared" ca="1" si="176"/>
        <v>0</v>
      </c>
      <c r="W288" s="84">
        <f t="shared" ca="1" si="176"/>
        <v>0</v>
      </c>
      <c r="X288" s="88">
        <f t="shared" ca="1" si="180"/>
        <v>0</v>
      </c>
      <c r="Y288" s="88">
        <f t="shared" ca="1" si="177"/>
        <v>0</v>
      </c>
      <c r="Z288" s="88">
        <f t="shared" ca="1" si="177"/>
        <v>0</v>
      </c>
      <c r="AA288" s="88">
        <f t="shared" ca="1" si="177"/>
        <v>0</v>
      </c>
      <c r="AB288" s="88">
        <f t="shared" ca="1" si="177"/>
        <v>0</v>
      </c>
      <c r="AC288" s="139">
        <f t="shared" ca="1" si="181"/>
        <v>0</v>
      </c>
      <c r="AE288" s="85"/>
      <c r="AF288" s="85"/>
    </row>
    <row r="289" spans="1:32" s="60" customFormat="1" ht="13.15" hidden="1" x14ac:dyDescent="0.25">
      <c r="A289" s="114" t="str">
        <f>IF(C289="","",MAX(A$207:A288)+1)</f>
        <v/>
      </c>
      <c r="B289" s="56" t="str">
        <f>IFERROR(VLOOKUP($C289,Таблица!$B$612:$E$663,2,FALSE),"")</f>
        <v/>
      </c>
      <c r="C289" s="48"/>
      <c r="D289" s="48"/>
      <c r="E289" s="56"/>
      <c r="F289" s="56"/>
      <c r="G289" s="50"/>
      <c r="H289" s="56"/>
      <c r="I289" s="56"/>
      <c r="J289" s="56" t="str">
        <f t="shared" si="174"/>
        <v/>
      </c>
      <c r="K289" s="64"/>
      <c r="L289" s="56">
        <f>IFERROR(VLOOKUP($C289,Таблица!$B$612:$K$663,3,FALSE),0)</f>
        <v>0</v>
      </c>
      <c r="M289" s="56" t="str">
        <f>IFERROR(VLOOKUP($C289,Таблица!$B$612:$F$663,5,FALSE),"")</f>
        <v/>
      </c>
      <c r="N289" s="56" t="str">
        <f>IFERROR(VLOOKUP($C289,Таблица!$B$612:$E$663,4,FALSE),"")</f>
        <v/>
      </c>
      <c r="O289" s="56">
        <f t="shared" si="178"/>
        <v>1</v>
      </c>
      <c r="P289" s="51"/>
      <c r="Q289" s="56" t="str">
        <f>IF(OR(AND(ISERROR(VLOOKUP($C289,Таблица!$B$612:$E$663,2,FALSE)),$C289&lt;&gt;""),P289&lt;&gt;""),"√","")</f>
        <v/>
      </c>
      <c r="R289" s="249">
        <f t="shared" si="179"/>
        <v>0</v>
      </c>
      <c r="S289" s="62">
        <f t="shared" ca="1" si="176"/>
        <v>0</v>
      </c>
      <c r="T289" s="62">
        <f t="shared" ca="1" si="176"/>
        <v>0</v>
      </c>
      <c r="U289" s="84">
        <f t="shared" ca="1" si="176"/>
        <v>0</v>
      </c>
      <c r="V289" s="84">
        <f t="shared" ca="1" si="176"/>
        <v>0</v>
      </c>
      <c r="W289" s="84">
        <f t="shared" ca="1" si="176"/>
        <v>0</v>
      </c>
      <c r="X289" s="88">
        <f t="shared" ca="1" si="180"/>
        <v>0</v>
      </c>
      <c r="Y289" s="88">
        <f t="shared" ca="1" si="177"/>
        <v>0</v>
      </c>
      <c r="Z289" s="88">
        <f t="shared" ca="1" si="177"/>
        <v>0</v>
      </c>
      <c r="AA289" s="88">
        <f t="shared" ca="1" si="177"/>
        <v>0</v>
      </c>
      <c r="AB289" s="88">
        <f t="shared" ca="1" si="177"/>
        <v>0</v>
      </c>
      <c r="AC289" s="139">
        <f t="shared" ca="1" si="181"/>
        <v>0</v>
      </c>
      <c r="AD289" s="89"/>
      <c r="AE289" s="85"/>
      <c r="AF289" s="85"/>
    </row>
    <row r="290" spans="1:32" s="68" customFormat="1" hidden="1" x14ac:dyDescent="0.2">
      <c r="A290" s="133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4">
        <v>0.4</v>
      </c>
      <c r="M290" s="66">
        <v>20</v>
      </c>
      <c r="N290" s="65"/>
      <c r="O290" s="65"/>
      <c r="P290" s="65"/>
      <c r="Q290" s="65"/>
      <c r="R290" s="251"/>
      <c r="S290" s="100">
        <f>SUMIF($M$284:$M$289,"&lt;=20",S$284:S$289)</f>
        <v>0</v>
      </c>
      <c r="T290" s="100">
        <f t="shared" ref="T290:W290" si="183">SUMIF($M$284:$M$289,"&lt;=20",T$284:T$289)</f>
        <v>0</v>
      </c>
      <c r="U290" s="100">
        <f t="shared" si="183"/>
        <v>0</v>
      </c>
      <c r="V290" s="100">
        <f t="shared" si="183"/>
        <v>0</v>
      </c>
      <c r="W290" s="100">
        <f t="shared" si="18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3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1"/>
      <c r="S291" s="100">
        <f>SUMIF($M$284:$M$289,"=35",S$284:S$289)-S290</f>
        <v>0</v>
      </c>
      <c r="T291" s="100">
        <f t="shared" ref="T291:W291" si="184">SUMIF($M$284:$M$289,"=35",T$284:T$289)-T290</f>
        <v>0</v>
      </c>
      <c r="U291" s="100">
        <f t="shared" si="184"/>
        <v>0</v>
      </c>
      <c r="V291" s="100">
        <f t="shared" si="184"/>
        <v>0</v>
      </c>
      <c r="W291" s="100">
        <f t="shared" si="18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3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1"/>
      <c r="S292" s="100">
        <f>SUMIF($M$284:$M$289,"&gt;=110",S$284:S$289)</f>
        <v>0</v>
      </c>
      <c r="T292" s="100">
        <f t="shared" ref="T292:W292" si="185">SUMIF($M$284:$M$289,"&gt;=110",T$284:T$289)</f>
        <v>0</v>
      </c>
      <c r="U292" s="100">
        <f t="shared" si="185"/>
        <v>0</v>
      </c>
      <c r="V292" s="100">
        <f t="shared" si="185"/>
        <v>0</v>
      </c>
      <c r="W292" s="100">
        <f t="shared" si="18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ht="13.15" hidden="1" x14ac:dyDescent="0.25">
      <c r="A293" s="114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0</v>
      </c>
      <c r="N293" s="1"/>
      <c r="O293" s="1"/>
      <c r="P293" s="1"/>
      <c r="Q293" s="1"/>
      <c r="R293" s="249">
        <f>SUM(R210:R289)</f>
        <v>0</v>
      </c>
      <c r="S293" s="85">
        <f>SUM(S294:S296)</f>
        <v>0</v>
      </c>
      <c r="T293" s="85">
        <f t="shared" ref="T293:W293" si="186">SUM(T294:T296)</f>
        <v>0</v>
      </c>
      <c r="U293" s="85">
        <f t="shared" si="186"/>
        <v>0</v>
      </c>
      <c r="V293" s="85">
        <f t="shared" si="186"/>
        <v>0</v>
      </c>
      <c r="W293" s="85">
        <f t="shared" si="186"/>
        <v>0</v>
      </c>
      <c r="X293" s="89">
        <f t="shared" ref="X293" si="187">SUM(X294:X296)</f>
        <v>0</v>
      </c>
      <c r="Y293" s="89">
        <f t="shared" ref="Y293:AB293" si="188">SUM(Y294:Y296)</f>
        <v>0</v>
      </c>
      <c r="Z293" s="89">
        <f t="shared" si="188"/>
        <v>0</v>
      </c>
      <c r="AA293" s="89">
        <f t="shared" si="188"/>
        <v>0</v>
      </c>
      <c r="AB293" s="89">
        <f t="shared" si="188"/>
        <v>0</v>
      </c>
      <c r="AC293" s="137">
        <f>SUM(X293:AB293)</f>
        <v>0</v>
      </c>
    </row>
    <row r="294" spans="1:32" s="68" customFormat="1" hidden="1" x14ac:dyDescent="0.2">
      <c r="A294" s="133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1"/>
      <c r="S294" s="100">
        <f>S290+S221+S237+S251+S263+S280</f>
        <v>0</v>
      </c>
      <c r="T294" s="100">
        <f t="shared" ref="T294:AB294" si="189">T290+T221+T237+T251+T263+T280</f>
        <v>0</v>
      </c>
      <c r="U294" s="100">
        <f t="shared" si="189"/>
        <v>0</v>
      </c>
      <c r="V294" s="100">
        <f t="shared" si="189"/>
        <v>0</v>
      </c>
      <c r="W294" s="100">
        <f t="shared" si="189"/>
        <v>0</v>
      </c>
      <c r="X294" s="99">
        <f t="shared" si="189"/>
        <v>0</v>
      </c>
      <c r="Y294" s="99">
        <f t="shared" si="189"/>
        <v>0</v>
      </c>
      <c r="Z294" s="99">
        <f t="shared" si="189"/>
        <v>0</v>
      </c>
      <c r="AA294" s="99">
        <f t="shared" si="189"/>
        <v>0</v>
      </c>
      <c r="AB294" s="99">
        <f t="shared" si="189"/>
        <v>0</v>
      </c>
    </row>
    <row r="295" spans="1:32" s="68" customFormat="1" hidden="1" x14ac:dyDescent="0.2">
      <c r="A295" s="133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1"/>
      <c r="S295" s="100">
        <f>S291+S222+S238+S252+S264+S281</f>
        <v>0</v>
      </c>
      <c r="T295" s="100">
        <f t="shared" ref="T295:AB295" si="190">T291+T222+T238+T252+T264+T281</f>
        <v>0</v>
      </c>
      <c r="U295" s="100">
        <f t="shared" si="190"/>
        <v>0</v>
      </c>
      <c r="V295" s="100">
        <f t="shared" si="190"/>
        <v>0</v>
      </c>
      <c r="W295" s="100">
        <f t="shared" si="190"/>
        <v>0</v>
      </c>
      <c r="X295" s="99">
        <f t="shared" si="190"/>
        <v>0</v>
      </c>
      <c r="Y295" s="99">
        <f t="shared" si="190"/>
        <v>0</v>
      </c>
      <c r="Z295" s="99">
        <f t="shared" si="190"/>
        <v>0</v>
      </c>
      <c r="AA295" s="99">
        <f t="shared" si="190"/>
        <v>0</v>
      </c>
      <c r="AB295" s="99">
        <f t="shared" si="190"/>
        <v>0</v>
      </c>
    </row>
    <row r="296" spans="1:32" s="68" customFormat="1" hidden="1" x14ac:dyDescent="0.2">
      <c r="A296" s="133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1"/>
      <c r="S296" s="100">
        <f>S292+S223+S239+S253+S265+S282</f>
        <v>0</v>
      </c>
      <c r="T296" s="100">
        <f t="shared" ref="T296:AB296" si="191">T292+T223+T239+T253+T265+T282</f>
        <v>0</v>
      </c>
      <c r="U296" s="100">
        <f t="shared" si="191"/>
        <v>0</v>
      </c>
      <c r="V296" s="100">
        <f t="shared" si="191"/>
        <v>0</v>
      </c>
      <c r="W296" s="100">
        <f t="shared" si="191"/>
        <v>0</v>
      </c>
      <c r="X296" s="99">
        <f t="shared" si="191"/>
        <v>0</v>
      </c>
      <c r="Y296" s="99">
        <f t="shared" si="191"/>
        <v>0</v>
      </c>
      <c r="Z296" s="99">
        <f t="shared" si="191"/>
        <v>0</v>
      </c>
      <c r="AA296" s="99">
        <f t="shared" si="191"/>
        <v>0</v>
      </c>
      <c r="AB296" s="99">
        <f t="shared" si="191"/>
        <v>0</v>
      </c>
    </row>
    <row r="297" spans="1:32" x14ac:dyDescent="0.2">
      <c r="A297" s="181"/>
      <c r="B297" s="182"/>
      <c r="C297" s="182" t="s">
        <v>469</v>
      </c>
      <c r="D297" s="182"/>
      <c r="E297" s="182"/>
      <c r="F297" s="182"/>
      <c r="G297" s="182"/>
      <c r="H297" s="182"/>
      <c r="I297" s="182"/>
      <c r="J297" s="182" t="s">
        <v>403</v>
      </c>
      <c r="K297" s="184">
        <f ca="1">$M$11-1</f>
        <v>9.000000000000008E-2</v>
      </c>
      <c r="L297" s="184"/>
      <c r="M297" s="182"/>
      <c r="N297" s="182"/>
      <c r="O297" s="182"/>
      <c r="P297" s="201" t="s">
        <v>403</v>
      </c>
      <c r="Q297" s="182"/>
      <c r="R297" s="249"/>
      <c r="S297" s="85"/>
      <c r="T297" s="85"/>
      <c r="U297" s="86"/>
      <c r="V297" s="86"/>
      <c r="W297" s="86"/>
    </row>
    <row r="298" spans="1:32" ht="13.15" hidden="1" x14ac:dyDescent="0.25">
      <c r="A298" s="181"/>
      <c r="B298" s="182"/>
      <c r="C298" s="187" t="s">
        <v>983</v>
      </c>
      <c r="D298" s="187"/>
      <c r="E298" s="182"/>
      <c r="F298" s="182"/>
      <c r="G298" s="182"/>
      <c r="H298" s="182"/>
      <c r="I298" s="182"/>
      <c r="J298" s="182"/>
      <c r="K298" s="182"/>
      <c r="L298" s="182"/>
      <c r="M298" s="127"/>
      <c r="N298" s="127"/>
      <c r="O298" s="182"/>
      <c r="P298" s="191" t="str">
        <f ca="1">IF(R$298%,R298/R$298%,"")</f>
        <v/>
      </c>
      <c r="Q298" s="182"/>
      <c r="R298" s="249">
        <f ca="1">ROUND((R293-(SUM(R210:R224)-SUM(AC210:AC220))*$P$12-SUM(X210:AB214,X216:AB220))*(1+$K$297),2)</f>
        <v>0</v>
      </c>
      <c r="S298" s="85">
        <f>SUM(R225:R289)+SUM(R210:R224)-SUM(AC210:AC220)</f>
        <v>0</v>
      </c>
      <c r="T298" s="85">
        <f>SUM(X294:AB296)</f>
        <v>0</v>
      </c>
      <c r="U298" s="86">
        <f ca="1">ROUND(S298*(1+$P$12)+T298+SUM(R207:R208)-(R307-R306)/(1+$K$297)-R306/(1+$P$12),2)</f>
        <v>0</v>
      </c>
      <c r="V298" s="86"/>
      <c r="W298" s="86"/>
      <c r="X298" s="143"/>
    </row>
    <row r="299" spans="1:32" ht="13.15" hidden="1" x14ac:dyDescent="0.25">
      <c r="A299" s="181"/>
      <c r="B299" s="182"/>
      <c r="C299" s="182" t="s">
        <v>982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27"/>
      <c r="N299" s="127"/>
      <c r="O299" s="182"/>
      <c r="P299" s="191" t="str">
        <f ca="1">IF(SUM(P300:P305),SUM(P300:P305),"")</f>
        <v/>
      </c>
      <c r="Q299" s="194"/>
      <c r="R299" s="254">
        <f ca="1">SUM(R300:R305)</f>
        <v>0</v>
      </c>
      <c r="S299" s="85">
        <f ca="1">ROUND(R299-AC293*(1+K297)-R305,2)</f>
        <v>0</v>
      </c>
      <c r="T299" s="53"/>
      <c r="U299" s="80"/>
      <c r="V299" s="86"/>
      <c r="W299" s="86"/>
      <c r="X299" s="143"/>
    </row>
    <row r="300" spans="1:32" ht="13.15" hidden="1" x14ac:dyDescent="0.25">
      <c r="A300" s="181"/>
      <c r="B300" s="182" t="s">
        <v>1267</v>
      </c>
      <c r="C300" s="183" t="s">
        <v>1233</v>
      </c>
      <c r="D300" s="182"/>
      <c r="E300" s="182"/>
      <c r="F300" s="182"/>
      <c r="G300" s="182"/>
      <c r="H300" s="182"/>
      <c r="I300" s="182"/>
      <c r="J300" s="182"/>
      <c r="K300" s="184"/>
      <c r="L300" s="184"/>
      <c r="M300" s="127"/>
      <c r="N300" s="127"/>
      <c r="O300" s="182"/>
      <c r="P300" s="192" t="str">
        <f t="shared" ref="P300:P306" ca="1" si="192">IF(R$298%,R300/R$298%,"")</f>
        <v/>
      </c>
      <c r="Q300" s="182"/>
      <c r="R300" s="249">
        <f ca="1">ROUND(X293*(1+$K$297),2)</f>
        <v>0</v>
      </c>
      <c r="S300" s="53"/>
      <c r="T300" s="53"/>
      <c r="U300" s="80"/>
      <c r="V300" s="86"/>
      <c r="W300" s="86"/>
      <c r="X300" s="143"/>
    </row>
    <row r="301" spans="1:32" ht="13.15" hidden="1" x14ac:dyDescent="0.25">
      <c r="A301" s="181"/>
      <c r="B301" s="182" t="s">
        <v>1267</v>
      </c>
      <c r="C301" s="203" t="str">
        <f>"временные здания и сооружения"&amp;IF(ISBLANK($C$12),""," (К=0,8)")</f>
        <v>временные здания и сооружения</v>
      </c>
      <c r="D301" s="182"/>
      <c r="E301" s="182"/>
      <c r="F301" s="182"/>
      <c r="G301" s="182"/>
      <c r="H301" s="182"/>
      <c r="I301" s="182"/>
      <c r="J301" s="182"/>
      <c r="K301" s="184"/>
      <c r="L301" s="184"/>
      <c r="M301" s="127"/>
      <c r="N301" s="127"/>
      <c r="O301" s="182"/>
      <c r="P301" s="192" t="str">
        <f t="shared" ca="1" si="192"/>
        <v/>
      </c>
      <c r="Q301" s="182"/>
      <c r="R301" s="249">
        <f ca="1">ROUND(Y293*(1+$K$297),2)</f>
        <v>0</v>
      </c>
      <c r="S301" s="53"/>
      <c r="T301" s="53"/>
      <c r="U301" s="80"/>
      <c r="V301" s="86"/>
      <c r="W301" s="86"/>
      <c r="X301" s="143"/>
      <c r="Y301" s="143"/>
    </row>
    <row r="302" spans="1:32" ht="13.15" hidden="1" x14ac:dyDescent="0.25">
      <c r="A302" s="181"/>
      <c r="B302" s="182" t="s">
        <v>1267</v>
      </c>
      <c r="C302" s="203" t="s">
        <v>1333</v>
      </c>
      <c r="D302" s="182"/>
      <c r="E302" s="182"/>
      <c r="F302" s="182"/>
      <c r="G302" s="182"/>
      <c r="H302" s="182"/>
      <c r="I302" s="182"/>
      <c r="J302" s="182"/>
      <c r="K302" s="184"/>
      <c r="L302" s="184"/>
      <c r="M302" s="127"/>
      <c r="N302" s="127"/>
      <c r="O302" s="182"/>
      <c r="P302" s="192" t="str">
        <f t="shared" ca="1" si="192"/>
        <v/>
      </c>
      <c r="Q302" s="182"/>
      <c r="R302" s="249">
        <f ca="1">ROUND(Z293*(1+$K$297),2)</f>
        <v>0</v>
      </c>
      <c r="S302" s="53"/>
      <c r="T302" s="53"/>
      <c r="U302" s="80"/>
      <c r="V302" s="86"/>
      <c r="W302" s="86"/>
    </row>
    <row r="303" spans="1:32" ht="13.15" hidden="1" x14ac:dyDescent="0.25">
      <c r="A303" s="181"/>
      <c r="B303" s="182" t="s">
        <v>1267</v>
      </c>
      <c r="C303" s="364" t="s">
        <v>1234</v>
      </c>
      <c r="D303" s="182"/>
      <c r="E303" s="182"/>
      <c r="F303" s="182"/>
      <c r="G303" s="182"/>
      <c r="H303" s="182"/>
      <c r="I303" s="182"/>
      <c r="J303" s="182"/>
      <c r="K303" s="184"/>
      <c r="L303" s="184"/>
      <c r="M303" s="127"/>
      <c r="N303" s="127"/>
      <c r="O303" s="182"/>
      <c r="P303" s="192" t="str">
        <f t="shared" ca="1" si="192"/>
        <v/>
      </c>
      <c r="Q303" s="182"/>
      <c r="R303" s="249">
        <f ca="1">ROUND(AA293*(1+$K$297),2)</f>
        <v>0</v>
      </c>
      <c r="S303" s="53"/>
      <c r="T303" s="53"/>
      <c r="U303" s="80"/>
      <c r="V303" s="86"/>
      <c r="W303" s="86"/>
    </row>
    <row r="304" spans="1:32" ht="13.15" hidden="1" x14ac:dyDescent="0.25">
      <c r="A304" s="181"/>
      <c r="B304" s="182" t="s">
        <v>1267</v>
      </c>
      <c r="C304" s="203" t="s">
        <v>1031</v>
      </c>
      <c r="D304" s="182"/>
      <c r="E304" s="182"/>
      <c r="F304" s="182"/>
      <c r="G304" s="182"/>
      <c r="H304" s="182"/>
      <c r="I304" s="182"/>
      <c r="J304" s="182"/>
      <c r="K304" s="184"/>
      <c r="L304" s="184"/>
      <c r="M304" s="127"/>
      <c r="N304" s="127"/>
      <c r="O304" s="182"/>
      <c r="P304" s="192" t="str">
        <f t="shared" ca="1" si="192"/>
        <v/>
      </c>
      <c r="Q304" s="182"/>
      <c r="R304" s="249">
        <f ca="1">ROUND(AB293*(1+$K$297),2)</f>
        <v>0</v>
      </c>
      <c r="S304" s="60"/>
      <c r="T304" s="53"/>
      <c r="U304" s="80"/>
      <c r="V304" s="86"/>
      <c r="W304" s="86"/>
    </row>
    <row r="305" spans="1:30" s="60" customFormat="1" ht="12.75" hidden="1" customHeight="1" x14ac:dyDescent="0.25">
      <c r="A305" s="181"/>
      <c r="B305" s="182" t="s">
        <v>1267</v>
      </c>
      <c r="C305" s="203" t="s">
        <v>1034</v>
      </c>
      <c r="D305" s="182"/>
      <c r="E305" s="182"/>
      <c r="F305" s="182"/>
      <c r="G305" s="182"/>
      <c r="H305" s="182"/>
      <c r="I305" s="182"/>
      <c r="J305" s="182"/>
      <c r="K305" s="184"/>
      <c r="L305" s="184"/>
      <c r="M305" s="127"/>
      <c r="N305" s="127"/>
      <c r="O305" s="182"/>
      <c r="P305" s="192" t="str">
        <f t="shared" ca="1" si="192"/>
        <v/>
      </c>
      <c r="Q305" s="182"/>
      <c r="R305" s="249">
        <f ca="1">ROUND(R298*$P$12,2)</f>
        <v>0</v>
      </c>
      <c r="S305" s="212">
        <f ca="1">IF(R307-R305-R306,R305/(R307-R305-R306),0)</f>
        <v>0</v>
      </c>
      <c r="T305" s="53"/>
      <c r="U305" s="80"/>
      <c r="V305" s="80"/>
      <c r="W305" s="80"/>
      <c r="X305" s="89"/>
      <c r="Y305" s="89"/>
      <c r="Z305" s="89"/>
      <c r="AA305" s="89"/>
      <c r="AB305" s="89"/>
      <c r="AC305" s="137"/>
      <c r="AD305" s="89"/>
    </row>
    <row r="306" spans="1:30" s="60" customFormat="1" ht="13.15" hidden="1" x14ac:dyDescent="0.25">
      <c r="A306" s="181"/>
      <c r="B306" s="182"/>
      <c r="C306" s="194" t="s">
        <v>948</v>
      </c>
      <c r="D306" s="182"/>
      <c r="E306" s="182"/>
      <c r="F306" s="182"/>
      <c r="G306" s="182"/>
      <c r="H306" s="182"/>
      <c r="I306" s="182"/>
      <c r="J306" s="182"/>
      <c r="K306" s="184"/>
      <c r="L306" s="184"/>
      <c r="M306" s="127"/>
      <c r="N306" s="127"/>
      <c r="O306" s="182"/>
      <c r="P306" s="191" t="str">
        <f t="shared" ca="1" si="192"/>
        <v/>
      </c>
      <c r="Q306" s="182"/>
      <c r="R306" s="249">
        <f>ROUND(SUM(R207:R208)*(1+$P$12),2)</f>
        <v>0</v>
      </c>
      <c r="S306" s="53"/>
      <c r="T306" s="53"/>
      <c r="U306" s="80"/>
      <c r="V306" s="86"/>
      <c r="W306" s="86"/>
      <c r="X306" s="89"/>
      <c r="Y306" s="89"/>
      <c r="Z306" s="89"/>
      <c r="AA306" s="89"/>
      <c r="AB306" s="89"/>
      <c r="AC306" s="137"/>
      <c r="AD306" s="89"/>
    </row>
    <row r="307" spans="1:30" ht="13.15" hidden="1" x14ac:dyDescent="0.25">
      <c r="A307" s="181"/>
      <c r="B307" s="182"/>
      <c r="C307" s="186" t="s">
        <v>1334</v>
      </c>
      <c r="D307" s="186"/>
      <c r="E307" s="182"/>
      <c r="F307" s="182"/>
      <c r="G307" s="182"/>
      <c r="H307" s="182"/>
      <c r="I307" s="182"/>
      <c r="J307" s="182"/>
      <c r="K307" s="182"/>
      <c r="L307" s="182"/>
      <c r="M307" s="182"/>
      <c r="N307" s="127"/>
      <c r="O307" s="182"/>
      <c r="P307" s="182"/>
      <c r="Q307" s="182"/>
      <c r="R307" s="255">
        <f ca="1">R298+R299+R306</f>
        <v>0</v>
      </c>
      <c r="S307" s="85">
        <f ca="1">ROUND(SUM(S294:W296)*(1+K297)+R298*$P$12+R306-R307,2)</f>
        <v>0</v>
      </c>
      <c r="T307" s="53"/>
      <c r="U307" s="80"/>
      <c r="V307" s="86"/>
      <c r="W307" s="86"/>
    </row>
    <row r="308" spans="1:30" x14ac:dyDescent="0.2">
      <c r="C308" s="2" t="s">
        <v>470</v>
      </c>
      <c r="P308" s="124" t="s">
        <v>403</v>
      </c>
      <c r="R308" s="256"/>
      <c r="S308" s="85"/>
      <c r="T308" s="85"/>
      <c r="U308" s="86"/>
      <c r="V308" s="86"/>
      <c r="W308" s="86"/>
    </row>
    <row r="309" spans="1:30" ht="13.15" hidden="1" x14ac:dyDescent="0.25">
      <c r="C309" s="2" t="s">
        <v>1043</v>
      </c>
      <c r="K309" s="18"/>
      <c r="N309" s="60"/>
      <c r="P309" s="191" t="str">
        <f ca="1">IF(SUM(P310:P312),SUM(P310:P312),"")</f>
        <v/>
      </c>
      <c r="R309" s="249">
        <f ca="1">SUM(R310:R312)</f>
        <v>0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ht="13.15" hidden="1" x14ac:dyDescent="0.25">
      <c r="C310" s="2" t="s">
        <v>1044</v>
      </c>
      <c r="K310" s="18"/>
      <c r="N310" s="60"/>
      <c r="P310" s="192" t="str">
        <f t="shared" ref="P310:P316" ca="1" si="193">IF(R$307,R310/R$307%,"")</f>
        <v/>
      </c>
      <c r="R310" s="249">
        <f ca="1">S310</f>
        <v>0</v>
      </c>
      <c r="S310" s="102">
        <f ca="1">ROUND(S294*(1+$K$297)*(1+$S$305),2)</f>
        <v>0</v>
      </c>
      <c r="T310" s="102">
        <f t="shared" ref="T310:W310" ca="1" si="194">ROUND(T294*(1+$K$297)*(1+$S$305),2)</f>
        <v>0</v>
      </c>
      <c r="U310" s="103">
        <f t="shared" ca="1" si="194"/>
        <v>0</v>
      </c>
      <c r="V310" s="103">
        <f t="shared" ca="1" si="194"/>
        <v>0</v>
      </c>
      <c r="W310" s="103">
        <f t="shared" ca="1" si="194"/>
        <v>0</v>
      </c>
    </row>
    <row r="311" spans="1:30" ht="13.15" hidden="1" x14ac:dyDescent="0.25">
      <c r="C311" s="2" t="s">
        <v>1102</v>
      </c>
      <c r="K311" s="18"/>
      <c r="N311" s="60"/>
      <c r="P311" s="192" t="str">
        <f t="shared" ca="1" si="193"/>
        <v/>
      </c>
      <c r="R311" s="249">
        <f t="shared" ref="R311:R312" ca="1" si="195">S311</f>
        <v>0</v>
      </c>
      <c r="S311" s="102">
        <f t="shared" ref="S311:W311" ca="1" si="196">ROUND(S295*(1+$K$297)*(1+$S$305),2)</f>
        <v>0</v>
      </c>
      <c r="T311" s="102">
        <f t="shared" ca="1" si="196"/>
        <v>0</v>
      </c>
      <c r="U311" s="103">
        <f t="shared" ca="1" si="196"/>
        <v>0</v>
      </c>
      <c r="V311" s="103">
        <f t="shared" ca="1" si="196"/>
        <v>0</v>
      </c>
      <c r="W311" s="103">
        <f t="shared" ca="1" si="196"/>
        <v>0</v>
      </c>
    </row>
    <row r="312" spans="1:30" ht="13.15" hidden="1" x14ac:dyDescent="0.25">
      <c r="C312" s="2" t="s">
        <v>1103</v>
      </c>
      <c r="K312" s="18"/>
      <c r="N312" s="60"/>
      <c r="P312" s="192" t="str">
        <f t="shared" ca="1" si="193"/>
        <v/>
      </c>
      <c r="R312" s="249">
        <f t="shared" ca="1" si="195"/>
        <v>0</v>
      </c>
      <c r="S312" s="102">
        <f t="shared" ref="S312:W312" ca="1" si="197">ROUND(S296*(1+$K$297)*(1+$S$305),2)</f>
        <v>0</v>
      </c>
      <c r="T312" s="102">
        <f t="shared" ca="1" si="197"/>
        <v>0</v>
      </c>
      <c r="U312" s="103">
        <f t="shared" ca="1" si="197"/>
        <v>0</v>
      </c>
      <c r="V312" s="103">
        <f t="shared" ca="1" si="197"/>
        <v>0</v>
      </c>
      <c r="W312" s="103">
        <f t="shared" ca="1" si="197"/>
        <v>0</v>
      </c>
    </row>
    <row r="313" spans="1:30" ht="13.15" hidden="1" x14ac:dyDescent="0.25">
      <c r="C313" s="2" t="s">
        <v>1041</v>
      </c>
      <c r="K313" s="18"/>
      <c r="N313" s="60"/>
      <c r="P313" s="192" t="str">
        <f t="shared" ca="1" si="193"/>
        <v/>
      </c>
      <c r="R313" s="249">
        <f ca="1">ROUND(T293*(1+$K$101)*(1+$S$305),2)</f>
        <v>0</v>
      </c>
      <c r="S313" s="85">
        <f ca="1">ROUND(R313-SUM(T310:T312),2)</f>
        <v>0</v>
      </c>
      <c r="T313" s="85"/>
      <c r="U313" s="86"/>
      <c r="V313" s="86"/>
      <c r="W313" s="86"/>
    </row>
    <row r="314" spans="1:30" ht="13.15" hidden="1" x14ac:dyDescent="0.25">
      <c r="C314" s="2" t="s">
        <v>1042</v>
      </c>
      <c r="K314" s="18"/>
      <c r="N314" s="60"/>
      <c r="P314" s="192" t="str">
        <f t="shared" ca="1" si="193"/>
        <v/>
      </c>
      <c r="R314" s="249">
        <f ca="1">ROUND(U293*(1+$K$101)*(1+$S$305),2)</f>
        <v>0</v>
      </c>
      <c r="S314" s="85">
        <f ca="1">ROUND(R314-SUM(U310:U312),2)</f>
        <v>0</v>
      </c>
      <c r="T314" s="85"/>
      <c r="U314" s="86"/>
      <c r="V314" s="86"/>
      <c r="W314" s="86"/>
    </row>
    <row r="315" spans="1:30" ht="13.15" hidden="1" x14ac:dyDescent="0.25">
      <c r="C315" s="2" t="s">
        <v>1100</v>
      </c>
      <c r="K315" s="18"/>
      <c r="P315" s="192" t="str">
        <f t="shared" ca="1" si="193"/>
        <v/>
      </c>
      <c r="R315" s="249">
        <f ca="1">ROUND(V293*(1+$K$101)*(1+$S$305),2)</f>
        <v>0</v>
      </c>
      <c r="S315" s="85">
        <f ca="1">ROUND(R315-SUM(V310:V312),2)</f>
        <v>0</v>
      </c>
      <c r="T315" s="85"/>
      <c r="U315" s="86"/>
      <c r="V315" s="86"/>
      <c r="W315" s="86"/>
    </row>
    <row r="316" spans="1:30" ht="13.15" hidden="1" x14ac:dyDescent="0.25">
      <c r="C316" s="60" t="s">
        <v>1339</v>
      </c>
      <c r="K316" s="18"/>
      <c r="N316" s="60"/>
      <c r="P316" s="192" t="str">
        <f t="shared" ca="1" si="193"/>
        <v/>
      </c>
      <c r="R316" s="249">
        <f ca="1">R307-(R309+R313+R314+R315)</f>
        <v>0</v>
      </c>
      <c r="S316" s="85">
        <f ca="1">ROUND(R316-SUM(W310:W312)-R306,2)</f>
        <v>0</v>
      </c>
      <c r="T316" s="85"/>
      <c r="U316" s="86"/>
      <c r="V316" s="86"/>
      <c r="W316" s="86"/>
    </row>
    <row r="317" spans="1:30" x14ac:dyDescent="0.2">
      <c r="K317" s="18"/>
      <c r="P317" s="193" t="str">
        <f ca="1">IF(ISNUMBER(P309+P313+P314+P315+P316),P309+P313+P314+P315+P316,"")</f>
        <v/>
      </c>
      <c r="R317" s="60"/>
      <c r="T317" s="60"/>
    </row>
    <row r="318" spans="1:30" s="60" customFormat="1" x14ac:dyDescent="0.2">
      <c r="A318" s="126"/>
      <c r="K318" s="18"/>
      <c r="P318" s="360"/>
      <c r="U318" s="79"/>
      <c r="V318" s="79"/>
      <c r="W318" s="79"/>
      <c r="X318" s="89"/>
      <c r="Y318" s="89"/>
      <c r="Z318" s="89"/>
      <c r="AA318" s="89"/>
      <c r="AB318" s="89"/>
      <c r="AC318" s="137"/>
      <c r="AD318" s="89"/>
    </row>
    <row r="319" spans="1:30" s="60" customFormat="1" ht="15" x14ac:dyDescent="0.2">
      <c r="A319" s="126"/>
      <c r="K319" s="18"/>
      <c r="P319" s="360"/>
      <c r="Q319" s="574" t="s">
        <v>1380</v>
      </c>
      <c r="R319" s="574"/>
      <c r="U319" s="79"/>
      <c r="V319" s="79"/>
      <c r="W319" s="79"/>
      <c r="X319" s="89"/>
      <c r="Y319" s="89"/>
      <c r="Z319" s="89"/>
      <c r="AA319" s="89"/>
      <c r="AB319" s="89"/>
      <c r="AC319" s="137"/>
      <c r="AD319" s="89"/>
    </row>
    <row r="320" spans="1:30" s="60" customFormat="1" ht="12.75" customHeight="1" x14ac:dyDescent="0.2">
      <c r="A320" s="126"/>
      <c r="K320" s="18"/>
      <c r="P320" s="578" t="str">
        <f>IF('Расчет стоимости'!$P$13&lt;35,"         ","Заместитель генерального директора по инвестиционной деятельности 
ПАО ''МРСК Северо-Запада''")</f>
        <v xml:space="preserve">         </v>
      </c>
      <c r="Q320" s="578"/>
      <c r="R320" s="578"/>
      <c r="U320" s="79"/>
      <c r="V320" s="79"/>
      <c r="W320" s="79"/>
      <c r="X320" s="89"/>
      <c r="Y320" s="89"/>
      <c r="Z320" s="89"/>
      <c r="AA320" s="89"/>
      <c r="AB320" s="89"/>
      <c r="AC320" s="137"/>
      <c r="AD320" s="89"/>
    </row>
    <row r="321" spans="1:38" s="60" customFormat="1" ht="42" customHeight="1" x14ac:dyDescent="0.2">
      <c r="A321" s="126"/>
      <c r="K321" s="18"/>
      <c r="P321" s="578"/>
      <c r="Q321" s="578"/>
      <c r="R321" s="578"/>
      <c r="U321" s="79"/>
      <c r="V321" s="79"/>
      <c r="W321" s="79"/>
      <c r="X321" s="89"/>
      <c r="Y321" s="89"/>
      <c r="Z321" s="89"/>
      <c r="AA321" s="89"/>
      <c r="AB321" s="89"/>
      <c r="AC321" s="137"/>
      <c r="AD321" s="89"/>
    </row>
    <row r="322" spans="1:38" s="60" customFormat="1" ht="15" x14ac:dyDescent="0.2">
      <c r="A322" s="126"/>
      <c r="C322" s="60" t="str">
        <f>B6</f>
        <v>Наименование</v>
      </c>
      <c r="D322" s="60" t="str">
        <f>IF(C6="","",C6)</f>
        <v xml:space="preserve">Реконструкция ВЛ 10 кВ яч.5Д ПС 110/10 кВ «Мордино» с заменой неизолированного провода на СИП протяженностью 14,75 км  в Корткеросском районе </v>
      </c>
      <c r="K322" s="18"/>
      <c r="P322" s="360"/>
      <c r="Q322" s="575" t="str">
        <f>IF('Расчет стоимости'!$P$13&lt;35,"________________________________ /___________/","________________________________ /B.B. Нестеренко/")</f>
        <v>________________________________ /___________/</v>
      </c>
      <c r="R322" s="576"/>
      <c r="U322" s="79"/>
      <c r="V322" s="79"/>
      <c r="W322" s="79"/>
      <c r="X322" s="89"/>
      <c r="Y322" s="89"/>
      <c r="Z322" s="89"/>
      <c r="AA322" s="89"/>
      <c r="AB322" s="89"/>
      <c r="AC322" s="137"/>
      <c r="AD322" s="89"/>
    </row>
    <row r="323" spans="1:38" s="60" customFormat="1" ht="15" x14ac:dyDescent="0.2">
      <c r="A323" s="126"/>
      <c r="K323" s="18"/>
      <c r="P323" s="360"/>
      <c r="Q323" s="577">
        <f>C384</f>
        <v>43133</v>
      </c>
      <c r="R323" s="577"/>
      <c r="U323" s="79"/>
      <c r="V323" s="79"/>
      <c r="W323" s="79"/>
      <c r="X323" s="89"/>
      <c r="Y323" s="89"/>
      <c r="Z323" s="89"/>
      <c r="AA323" s="89"/>
      <c r="AB323" s="89"/>
      <c r="AC323" s="137"/>
      <c r="AD323" s="89"/>
    </row>
    <row r="324" spans="1:38" s="60" customFormat="1" x14ac:dyDescent="0.2">
      <c r="A324" s="126"/>
      <c r="K324" s="18"/>
      <c r="U324" s="79"/>
      <c r="V324" s="79"/>
      <c r="W324" s="79"/>
      <c r="X324" s="89"/>
      <c r="Y324" s="89"/>
      <c r="Z324" s="89"/>
      <c r="AA324" s="89"/>
      <c r="AB324" s="89"/>
      <c r="AC324" s="137"/>
      <c r="AD324" s="89"/>
    </row>
    <row r="325" spans="1:38" ht="14.25" x14ac:dyDescent="0.2">
      <c r="C325" s="60" t="str">
        <f>IF(C5="","",C5)</f>
        <v>I_007-55-1-01.32-1876</v>
      </c>
      <c r="I325" s="580" t="s">
        <v>507</v>
      </c>
      <c r="J325" s="580"/>
      <c r="K325" s="580"/>
      <c r="L325" s="580"/>
      <c r="M325" s="580"/>
      <c r="N325" s="580"/>
      <c r="O325" s="580"/>
      <c r="P325" s="580"/>
      <c r="Q325" s="580"/>
      <c r="R325" s="580"/>
      <c r="AI325" s="60"/>
      <c r="AJ325" s="60"/>
      <c r="AK325" s="60"/>
      <c r="AL325" s="60"/>
    </row>
    <row r="326" spans="1:38" ht="15" x14ac:dyDescent="0.2">
      <c r="C326" s="598" t="s">
        <v>1101</v>
      </c>
      <c r="D326" s="34"/>
      <c r="E326" s="612" t="s">
        <v>299</v>
      </c>
      <c r="F326" s="612"/>
      <c r="G326" s="612"/>
      <c r="H326" s="612"/>
      <c r="I326" s="612" t="s">
        <v>1062</v>
      </c>
      <c r="J326" s="612"/>
      <c r="K326" s="612"/>
      <c r="L326" s="612"/>
      <c r="M326" s="612"/>
      <c r="N326" s="612"/>
      <c r="O326" s="121"/>
      <c r="P326" s="612" t="s">
        <v>506</v>
      </c>
      <c r="Q326" s="612"/>
      <c r="R326" s="612"/>
      <c r="AI326" s="60"/>
      <c r="AJ326" s="60"/>
      <c r="AK326" s="60"/>
      <c r="AL326" s="60"/>
    </row>
    <row r="327" spans="1:38" x14ac:dyDescent="0.2">
      <c r="C327" s="599"/>
      <c r="D327" s="35"/>
      <c r="E327" s="602" t="s">
        <v>82</v>
      </c>
      <c r="F327" s="603"/>
      <c r="G327" s="604" t="str">
        <f>IF($P$11=0,"",$P$11)</f>
        <v>IV кв. 2017 г.</v>
      </c>
      <c r="H327" s="605"/>
      <c r="I327" s="602" t="s">
        <v>504</v>
      </c>
      <c r="J327" s="603"/>
      <c r="K327" s="113"/>
      <c r="L327" s="113"/>
      <c r="M327" s="113"/>
      <c r="N327" s="113"/>
      <c r="O327" s="113"/>
      <c r="P327" s="113" t="s">
        <v>504</v>
      </c>
      <c r="Q327" s="113" t="s">
        <v>315</v>
      </c>
      <c r="R327" s="113" t="s">
        <v>505</v>
      </c>
      <c r="AI327" s="60"/>
      <c r="AJ327" s="60"/>
      <c r="AK327" s="60"/>
      <c r="AL327" s="60"/>
    </row>
    <row r="328" spans="1:38" x14ac:dyDescent="0.2">
      <c r="C328" s="28" t="s">
        <v>246</v>
      </c>
      <c r="D328" s="28"/>
      <c r="E328" s="1"/>
      <c r="F328" s="1"/>
      <c r="G328" s="1"/>
      <c r="H328" s="1"/>
      <c r="I328" s="601">
        <f ca="1">I347+I348+I349</f>
        <v>6855.45</v>
      </c>
      <c r="J328" s="601"/>
      <c r="K328" s="1"/>
      <c r="L328" s="1"/>
      <c r="M328" s="1"/>
      <c r="N328" s="1"/>
      <c r="O328" s="1"/>
      <c r="P328" s="104">
        <f ca="1">P347+P348+P349</f>
        <v>30546.87</v>
      </c>
      <c r="Q328" s="1"/>
      <c r="R328" s="258">
        <f ca="1">R347+R348+R349</f>
        <v>36045.300000000003</v>
      </c>
      <c r="S328" s="241">
        <f ca="1">R112+R189+R307-I328</f>
        <v>-67.880000000000109</v>
      </c>
      <c r="T328" s="85"/>
      <c r="AI328" s="60"/>
      <c r="AJ328" s="60"/>
      <c r="AK328" s="60"/>
      <c r="AL328" s="60"/>
    </row>
    <row r="329" spans="1:38" x14ac:dyDescent="0.2">
      <c r="C329" s="56" t="s">
        <v>1296</v>
      </c>
      <c r="D329" s="1"/>
      <c r="E329" s="195">
        <f>IFERROR(VLOOKUP($E$327,Таблица_индексов,Регионы!$N$3,FALSE),1)</f>
        <v>3.53</v>
      </c>
      <c r="F329" s="1"/>
      <c r="G329" s="524">
        <v>3.99</v>
      </c>
      <c r="H329" s="1"/>
      <c r="I329" s="584">
        <f ca="1">ROUND(R124*M329,2)</f>
        <v>482.63</v>
      </c>
      <c r="J329" s="585"/>
      <c r="K329" s="1"/>
      <c r="L329" s="1"/>
      <c r="M329" s="230">
        <f ca="1">IFERROR(OFFSET(Регионы!$U$5,MATCH($C$11,Регионы!$B$6:$B$91,0),0,1,1)*Регионы!$U$4,1)</f>
        <v>1.01</v>
      </c>
      <c r="N329" s="1"/>
      <c r="O329" s="1"/>
      <c r="P329" s="62">
        <f ca="1">ROUND(I329*E329,2)</f>
        <v>1703.68</v>
      </c>
      <c r="Q329" s="17">
        <v>0.18</v>
      </c>
      <c r="R329" s="249">
        <f ca="1">ROUND(P329*(1+Q329),2)</f>
        <v>2010.34</v>
      </c>
      <c r="S329" s="60"/>
      <c r="T329" s="85"/>
      <c r="AI329" s="60"/>
      <c r="AJ329" s="60"/>
      <c r="AK329" s="60"/>
      <c r="AL329" s="60"/>
    </row>
    <row r="330" spans="1:38" ht="13.15" hidden="1" x14ac:dyDescent="0.25">
      <c r="C330" s="56" t="s">
        <v>1297</v>
      </c>
      <c r="D330" s="1"/>
      <c r="E330" s="195">
        <f>IFERROR(VLOOKUP($E$327,Таблица_индексов,Регионы!$N$3,FALSE),1)</f>
        <v>3.53</v>
      </c>
      <c r="F330" s="1"/>
      <c r="G330" s="524">
        <v>3.99</v>
      </c>
      <c r="H330" s="1"/>
      <c r="I330" s="584">
        <f ca="1">ROUND(R198*M330,2)</f>
        <v>0</v>
      </c>
      <c r="J330" s="585"/>
      <c r="K330" s="1"/>
      <c r="L330" s="1"/>
      <c r="M330" s="230">
        <f ca="1">IFERROR(OFFSET(Регионы!$V$5,MATCH($C$11,Регионы!$B$6:$B$91,0),0,1,1)*Регионы!$V$4,1)</f>
        <v>1.01</v>
      </c>
      <c r="N330" s="1"/>
      <c r="O330" s="1"/>
      <c r="P330" s="62">
        <f t="shared" ref="P330:P346" ca="1" si="198">ROUND(I330*E330,2)</f>
        <v>0</v>
      </c>
      <c r="Q330" s="17">
        <v>0.18</v>
      </c>
      <c r="R330" s="249">
        <f t="shared" ref="R330:R346" ca="1" si="199">ROUND(P330*(1+Q330),2)</f>
        <v>0</v>
      </c>
      <c r="S330" s="60"/>
      <c r="AI330" s="60"/>
      <c r="AJ330" s="60"/>
      <c r="AK330" s="60"/>
      <c r="AL330" s="60"/>
    </row>
    <row r="331" spans="1:38" ht="13.15" hidden="1" x14ac:dyDescent="0.25">
      <c r="C331" s="56" t="s">
        <v>1298</v>
      </c>
      <c r="D331" s="1"/>
      <c r="E331" s="195">
        <f>IFERROR(VLOOKUP($E$327,Таблица_индексов,Регионы!$N$3,FALSE),1)</f>
        <v>3.53</v>
      </c>
      <c r="F331" s="1"/>
      <c r="G331" s="524">
        <v>3.99</v>
      </c>
      <c r="H331" s="1"/>
      <c r="I331" s="584">
        <f ca="1">ROUND((R315+R125)*M331,2)</f>
        <v>0</v>
      </c>
      <c r="J331" s="585"/>
      <c r="K331" s="1"/>
      <c r="L331" s="1"/>
      <c r="M331" s="230">
        <f ca="1">IFERROR(OFFSET(Регионы!$T$5,MATCH($C$11,Регионы!$B$6:$B$91,0),0,1,1)*Регионы!$T$4,1)</f>
        <v>1.01</v>
      </c>
      <c r="N331" s="1"/>
      <c r="O331" s="1"/>
      <c r="P331" s="62">
        <f t="shared" ca="1" si="198"/>
        <v>0</v>
      </c>
      <c r="Q331" s="17">
        <v>0.18</v>
      </c>
      <c r="R331" s="249">
        <f t="shared" ca="1" si="199"/>
        <v>0</v>
      </c>
      <c r="S331" s="60"/>
      <c r="AI331" s="60"/>
      <c r="AJ331" s="60"/>
      <c r="AK331" s="60"/>
      <c r="AL331" s="60"/>
    </row>
    <row r="332" spans="1:38" x14ac:dyDescent="0.2">
      <c r="C332" s="1" t="s">
        <v>1048</v>
      </c>
      <c r="D332" s="1"/>
      <c r="E332" s="195">
        <f>IFERROR(VLOOKUP($C$11,Регионы!$B$6:$HF$91,Регионы!$BE$3,FALSE),1)</f>
        <v>4.21</v>
      </c>
      <c r="F332" s="58"/>
      <c r="G332" s="524">
        <v>5.08</v>
      </c>
      <c r="H332" s="1"/>
      <c r="I332" s="584">
        <f ca="1">ROUND((R115+R116)*M332,2)</f>
        <v>5484.36</v>
      </c>
      <c r="J332" s="585"/>
      <c r="K332" s="1"/>
      <c r="L332" s="1"/>
      <c r="M332" s="230">
        <f ca="1">IFERROR(OFFSET(Регионы!$U$5,MATCH($C$11,Регионы!$B$6:$B$91,0),0,1,1)*Регионы!$U$4,1)</f>
        <v>1.01</v>
      </c>
      <c r="N332" s="1"/>
      <c r="O332" s="1"/>
      <c r="P332" s="62">
        <f ca="1">ROUND(I332*E332,2)</f>
        <v>23089.16</v>
      </c>
      <c r="Q332" s="17">
        <v>0.18</v>
      </c>
      <c r="R332" s="249">
        <f t="shared" ca="1" si="199"/>
        <v>27245.21</v>
      </c>
      <c r="S332" s="60"/>
      <c r="AI332" s="60"/>
      <c r="AJ332" s="60"/>
      <c r="AK332" s="60"/>
      <c r="AL332" s="60"/>
    </row>
    <row r="333" spans="1:38" ht="13.15" hidden="1" x14ac:dyDescent="0.25">
      <c r="C333" s="1" t="s">
        <v>1049</v>
      </c>
      <c r="D333" s="1"/>
      <c r="E333" s="195">
        <f>IFERROR(VLOOKUP($C$11,Регионы!$B$6:$HF$91,Регионы!$BE$3,FALSE),1)</f>
        <v>4.21</v>
      </c>
      <c r="F333" s="58"/>
      <c r="G333" s="524">
        <v>5.08</v>
      </c>
      <c r="H333" s="1"/>
      <c r="I333" s="584">
        <f ca="1">ROUND((R117+R118)*M333,2)</f>
        <v>0</v>
      </c>
      <c r="J333" s="585"/>
      <c r="K333" s="1"/>
      <c r="L333" s="1"/>
      <c r="M333" s="230">
        <f ca="1">IFERROR(OFFSET(Регионы!$U$5,MATCH($C$11,Регионы!$B$6:$B$91,0),0,1,1)*Регионы!$U$4,1)</f>
        <v>1.01</v>
      </c>
      <c r="N333" s="1"/>
      <c r="O333" s="1"/>
      <c r="P333" s="62">
        <f ca="1">ROUND(I333*E333,2)</f>
        <v>0</v>
      </c>
      <c r="Q333" s="17">
        <v>0.18</v>
      </c>
      <c r="R333" s="249">
        <f ca="1">ROUND(P333*(1+Q333),2)</f>
        <v>0</v>
      </c>
      <c r="S333" s="60"/>
      <c r="AI333" s="60"/>
      <c r="AJ333" s="60"/>
      <c r="AK333" s="60"/>
      <c r="AL333" s="60"/>
    </row>
    <row r="334" spans="1:38" s="60" customFormat="1" ht="13.15" hidden="1" x14ac:dyDescent="0.25">
      <c r="A334" s="126"/>
      <c r="C334" s="56" t="s">
        <v>498</v>
      </c>
      <c r="D334" s="56"/>
      <c r="E334" s="195">
        <f>IFERROR(VLOOKUP($C$11,Регионы!$B$6:$HF$91,Регионы!$DQ$3,FALSE),1)</f>
        <v>4.1500000000000004</v>
      </c>
      <c r="F334" s="56"/>
      <c r="G334" s="524">
        <v>4.99</v>
      </c>
      <c r="H334" s="56"/>
      <c r="I334" s="584">
        <f ca="1">ROUND((R192+R193)*M334,2)</f>
        <v>0</v>
      </c>
      <c r="J334" s="585"/>
      <c r="K334" s="56"/>
      <c r="L334" s="56"/>
      <c r="M334" s="230">
        <f ca="1">IFERROR(OFFSET(Регионы!$V$5,MATCH($C$11,Регионы!$B$6:$B$91,0),0,1,1)*Регионы!$V$4,1)</f>
        <v>1.01</v>
      </c>
      <c r="N334" s="56"/>
      <c r="O334" s="56"/>
      <c r="P334" s="62">
        <f t="shared" ca="1" si="198"/>
        <v>0</v>
      </c>
      <c r="Q334" s="17">
        <v>0.18</v>
      </c>
      <c r="R334" s="249">
        <f t="shared" ca="1" si="199"/>
        <v>0</v>
      </c>
      <c r="U334" s="79"/>
      <c r="V334" s="79"/>
      <c r="W334" s="79"/>
      <c r="X334" s="89"/>
      <c r="Y334" s="89"/>
      <c r="Z334" s="89"/>
      <c r="AA334" s="89"/>
      <c r="AB334" s="89"/>
      <c r="AC334" s="137"/>
      <c r="AD334" s="89"/>
    </row>
    <row r="335" spans="1:38" s="60" customFormat="1" ht="13.15" hidden="1" x14ac:dyDescent="0.25">
      <c r="A335" s="126"/>
      <c r="C335" s="56" t="s">
        <v>1063</v>
      </c>
      <c r="D335" s="56"/>
      <c r="E335" s="195">
        <f>IFERROR(VLOOKUP($C$11,Регионы!$B$6:$HF$91,Регионы!$DQ$3,FALSE),1)*$AD$153+IFERROR(VLOOKUP($C$11,Регионы!$B$6:$HF$91,Регионы!$EW$3,FALSE),1)*(1-$AD$153)</f>
        <v>4.1500000000000004</v>
      </c>
      <c r="F335" s="56"/>
      <c r="G335" s="524">
        <v>4.99</v>
      </c>
      <c r="H335" s="56"/>
      <c r="I335" s="584">
        <f ca="1">ROUND((R194+R195)*M335,2)</f>
        <v>0</v>
      </c>
      <c r="J335" s="585"/>
      <c r="K335" s="56"/>
      <c r="L335" s="56"/>
      <c r="M335" s="230">
        <f ca="1">IFERROR(OFFSET(Регионы!$V$5,MATCH($C$11,Регионы!$B$6:$B$91,0),0,1,1)*Регионы!$V$4,1)</f>
        <v>1.01</v>
      </c>
      <c r="N335" s="56"/>
      <c r="O335" s="56"/>
      <c r="P335" s="62">
        <f t="shared" ca="1" si="198"/>
        <v>0</v>
      </c>
      <c r="Q335" s="17">
        <v>0.18</v>
      </c>
      <c r="R335" s="249">
        <f t="shared" ca="1" si="199"/>
        <v>0</v>
      </c>
      <c r="U335" s="79"/>
      <c r="V335" s="79"/>
      <c r="W335" s="79"/>
      <c r="X335" s="89"/>
      <c r="Y335" s="89"/>
      <c r="Z335" s="89"/>
      <c r="AA335" s="89"/>
      <c r="AB335" s="89"/>
      <c r="AC335" s="137"/>
      <c r="AD335" s="89"/>
    </row>
    <row r="336" spans="1:38" ht="13.15" hidden="1" x14ac:dyDescent="0.25">
      <c r="C336" s="1" t="s">
        <v>1047</v>
      </c>
      <c r="D336" s="1"/>
      <c r="E336" s="191">
        <f>IFERROR(VLOOKUP($C$11,Регионы!$B$6:$HF$91,Регионы!$Y$3,FALSE),1)</f>
        <v>6.35</v>
      </c>
      <c r="F336" s="58"/>
      <c r="G336" s="524">
        <v>7.56</v>
      </c>
      <c r="H336" s="1"/>
      <c r="I336" s="584">
        <f ca="1">ROUND(R119*M336,2)</f>
        <v>0</v>
      </c>
      <c r="J336" s="585"/>
      <c r="K336" s="1"/>
      <c r="L336" s="1"/>
      <c r="M336" s="230">
        <f ca="1">IFERROR(OFFSET(Регионы!$U$5,MATCH($C$11,Регионы!$B$6:$B$91,0),0,1,1)*Регионы!$U$4,1)</f>
        <v>1.01</v>
      </c>
      <c r="N336" s="1"/>
      <c r="O336" s="1"/>
      <c r="P336" s="62">
        <f ca="1">ROUND(I336*E336,2)</f>
        <v>0</v>
      </c>
      <c r="Q336" s="17">
        <v>0.18</v>
      </c>
      <c r="R336" s="249">
        <f ca="1">ROUND(P336*(1+Q336),2)</f>
        <v>0</v>
      </c>
      <c r="S336" s="60"/>
      <c r="AI336" s="60"/>
      <c r="AJ336" s="60"/>
      <c r="AK336" s="60"/>
      <c r="AL336" s="60"/>
    </row>
    <row r="337" spans="3:38" ht="13.15" hidden="1" x14ac:dyDescent="0.25">
      <c r="C337" s="1" t="s">
        <v>1064</v>
      </c>
      <c r="D337" s="1"/>
      <c r="E337" s="191">
        <f>IFERROR(VLOOKUP($C$11,Регионы!$B$6:$HF$91,Регионы!$Y$3,FALSE),1)</f>
        <v>6.35</v>
      </c>
      <c r="F337" s="58"/>
      <c r="G337" s="524">
        <v>7.56</v>
      </c>
      <c r="H337" s="1"/>
      <c r="I337" s="584">
        <f ca="1">ROUND(R309*M337,2)</f>
        <v>0</v>
      </c>
      <c r="J337" s="585"/>
      <c r="K337" s="1"/>
      <c r="L337" s="1"/>
      <c r="M337" s="230">
        <f ca="1">IFERROR(OFFSET(Регионы!$T$5,MATCH($C$11,Регионы!$B$6:$B$91,0),0,1,1)*Регионы!$T$4,1)</f>
        <v>1.01</v>
      </c>
      <c r="N337" s="1"/>
      <c r="O337" s="1"/>
      <c r="P337" s="62">
        <f t="shared" ref="P337" ca="1" si="200">ROUND(I337*E337,2)</f>
        <v>0</v>
      </c>
      <c r="Q337" s="17">
        <v>0.18</v>
      </c>
      <c r="R337" s="249">
        <f t="shared" ref="R337" ca="1" si="201">ROUND(P337*(1+Q337),2)</f>
        <v>0</v>
      </c>
      <c r="S337" s="60"/>
      <c r="AI337" s="60"/>
      <c r="AJ337" s="60"/>
      <c r="AK337" s="60"/>
      <c r="AL337" s="60"/>
    </row>
    <row r="338" spans="3:38" x14ac:dyDescent="0.2">
      <c r="C338" s="1" t="s">
        <v>1050</v>
      </c>
      <c r="D338" s="1"/>
      <c r="E338" s="191">
        <f>IFERROR(VLOOKUP($E$327,Таблица_индексов,Регионы!$E$3,FALSE),1)</f>
        <v>3.82</v>
      </c>
      <c r="F338" s="58"/>
      <c r="G338" s="524">
        <v>4.4400000000000004</v>
      </c>
      <c r="H338" s="1"/>
      <c r="I338" s="584">
        <f ca="1">ROUND(R120*M338,2)</f>
        <v>252.31</v>
      </c>
      <c r="J338" s="585"/>
      <c r="K338" s="1"/>
      <c r="L338" s="1"/>
      <c r="M338" s="230">
        <f ca="1">IFERROR(OFFSET(Регионы!$U$5,MATCH($C$11,Регионы!$B$6:$B$91,0),0,1,1)*Регионы!$U$4,1)</f>
        <v>1.01</v>
      </c>
      <c r="N338" s="1"/>
      <c r="O338" s="1"/>
      <c r="P338" s="62">
        <f t="shared" ca="1" si="198"/>
        <v>963.82</v>
      </c>
      <c r="Q338" s="17">
        <v>0.18</v>
      </c>
      <c r="R338" s="249">
        <f t="shared" ca="1" si="199"/>
        <v>1137.31</v>
      </c>
      <c r="S338" s="60"/>
      <c r="AI338" s="60"/>
      <c r="AJ338" s="60"/>
      <c r="AK338" s="60"/>
      <c r="AL338" s="60"/>
    </row>
    <row r="339" spans="3:38" ht="13.15" hidden="1" x14ac:dyDescent="0.25">
      <c r="C339" s="1" t="s">
        <v>1051</v>
      </c>
      <c r="D339" s="1"/>
      <c r="E339" s="191">
        <f>IFERROR(VLOOKUP($E$327,Таблица_индексов,Регионы!$E$3,FALSE),1)</f>
        <v>3.82</v>
      </c>
      <c r="F339" s="58"/>
      <c r="G339" s="524">
        <v>4.4400000000000004</v>
      </c>
      <c r="H339" s="1"/>
      <c r="I339" s="584">
        <f ca="1">ROUND(R196*M339,2)</f>
        <v>0</v>
      </c>
      <c r="J339" s="585"/>
      <c r="K339" s="1"/>
      <c r="L339" s="1"/>
      <c r="M339" s="230">
        <f ca="1">IFERROR(OFFSET(Регионы!$V$5,MATCH($C$11,Регионы!$B$6:$B$91,0),0,1,1)*Регионы!$V$4,1)</f>
        <v>1.01</v>
      </c>
      <c r="N339" s="1"/>
      <c r="O339" s="1"/>
      <c r="P339" s="62">
        <f t="shared" ca="1" si="198"/>
        <v>0</v>
      </c>
      <c r="Q339" s="17">
        <v>0.18</v>
      </c>
      <c r="R339" s="249">
        <f t="shared" ca="1" si="199"/>
        <v>0</v>
      </c>
      <c r="S339" s="60"/>
      <c r="AI339" s="60"/>
      <c r="AJ339" s="60"/>
      <c r="AK339" s="60"/>
      <c r="AL339" s="60"/>
    </row>
    <row r="340" spans="3:38" ht="13.15" hidden="1" x14ac:dyDescent="0.25">
      <c r="C340" s="1" t="s">
        <v>1052</v>
      </c>
      <c r="D340" s="1"/>
      <c r="E340" s="191">
        <f>IFERROR(VLOOKUP($E$327,Таблица_индексов,Регионы!$E$3,FALSE),1)</f>
        <v>3.82</v>
      </c>
      <c r="F340" s="58"/>
      <c r="G340" s="524">
        <v>4.4400000000000004</v>
      </c>
      <c r="H340" s="1"/>
      <c r="I340" s="584">
        <f ca="1">ROUND((R313+R121)*M340,2)</f>
        <v>0</v>
      </c>
      <c r="J340" s="585"/>
      <c r="K340" s="1"/>
      <c r="L340" s="1"/>
      <c r="M340" s="230">
        <f ca="1">IFERROR(OFFSET(Регионы!$T$5,MATCH($C$11,Регионы!$B$6:$B$91,0),0,1,1)*Регионы!$T$4,1)</f>
        <v>1.01</v>
      </c>
      <c r="N340" s="1"/>
      <c r="O340" s="1"/>
      <c r="P340" s="62">
        <f t="shared" ca="1" si="198"/>
        <v>0</v>
      </c>
      <c r="Q340" s="17">
        <v>0.18</v>
      </c>
      <c r="R340" s="249">
        <f t="shared" ca="1" si="199"/>
        <v>0</v>
      </c>
      <c r="S340" s="60"/>
      <c r="AI340" s="60"/>
      <c r="AJ340" s="60"/>
      <c r="AK340" s="60"/>
      <c r="AL340" s="60"/>
    </row>
    <row r="341" spans="3:38" ht="13.15" hidden="1" x14ac:dyDescent="0.25">
      <c r="C341" s="1" t="s">
        <v>1053</v>
      </c>
      <c r="D341" s="1"/>
      <c r="E341" s="191">
        <f>IFERROR(VLOOKUP($C$11,Регионы!$B$6:$HF$91,Регионы!$GC$3,FALSE),1)</f>
        <v>12.66</v>
      </c>
      <c r="F341" s="58"/>
      <c r="G341" s="524">
        <v>15.23</v>
      </c>
      <c r="H341" s="1"/>
      <c r="I341" s="584">
        <f ca="1">ROUND(R122*M341,2)</f>
        <v>0</v>
      </c>
      <c r="J341" s="585"/>
      <c r="K341" s="1"/>
      <c r="L341" s="1"/>
      <c r="M341" s="230">
        <f ca="1">IFERROR(OFFSET(Регионы!$U$5,MATCH($C$11,Регионы!$B$6:$B$91,0),0,1,1)*Регионы!$U$4,1)</f>
        <v>1.01</v>
      </c>
      <c r="N341" s="1"/>
      <c r="O341" s="1"/>
      <c r="P341" s="62">
        <f t="shared" ca="1" si="198"/>
        <v>0</v>
      </c>
      <c r="Q341" s="17">
        <v>0.18</v>
      </c>
      <c r="R341" s="249">
        <f t="shared" ca="1" si="199"/>
        <v>0</v>
      </c>
      <c r="S341" s="60"/>
      <c r="AI341" s="60"/>
      <c r="AJ341" s="60"/>
      <c r="AK341" s="60"/>
      <c r="AL341" s="60"/>
    </row>
    <row r="342" spans="3:38" ht="13.15" hidden="1" x14ac:dyDescent="0.25">
      <c r="C342" s="1" t="s">
        <v>1054</v>
      </c>
      <c r="D342" s="1"/>
      <c r="E342" s="191">
        <f>IFERROR(VLOOKUP($C$11,Регионы!$B$6:$HF$91,Регионы!$GC$3,FALSE),1)</f>
        <v>12.66</v>
      </c>
      <c r="F342" s="58"/>
      <c r="G342" s="524">
        <v>15.23</v>
      </c>
      <c r="H342" s="1"/>
      <c r="I342" s="584">
        <f ca="1">ROUND(R197*M342,2)</f>
        <v>0</v>
      </c>
      <c r="J342" s="585"/>
      <c r="K342" s="1"/>
      <c r="L342" s="1"/>
      <c r="M342" s="230">
        <f ca="1">IFERROR(OFFSET(Регионы!$V$5,MATCH($C$11,Регионы!$B$6:$B$91,0),0,1,1)*Регионы!$V$4,1)</f>
        <v>1.01</v>
      </c>
      <c r="N342" s="1"/>
      <c r="O342" s="1"/>
      <c r="P342" s="62">
        <f t="shared" ca="1" si="198"/>
        <v>0</v>
      </c>
      <c r="Q342" s="17">
        <v>0.18</v>
      </c>
      <c r="R342" s="249">
        <f t="shared" ca="1" si="199"/>
        <v>0</v>
      </c>
      <c r="S342" s="60"/>
      <c r="AI342" s="60"/>
      <c r="AJ342" s="60"/>
      <c r="AK342" s="60"/>
      <c r="AL342" s="60"/>
    </row>
    <row r="343" spans="3:38" ht="13.15" hidden="1" x14ac:dyDescent="0.25">
      <c r="C343" s="1" t="s">
        <v>1055</v>
      </c>
      <c r="D343" s="1"/>
      <c r="E343" s="191">
        <f>IFERROR(VLOOKUP($C$11,Регионы!$B$6:$HF$91,Регионы!$GC$3,FALSE),1)</f>
        <v>12.66</v>
      </c>
      <c r="F343" s="58"/>
      <c r="G343" s="524">
        <v>15.23</v>
      </c>
      <c r="H343" s="1"/>
      <c r="I343" s="584">
        <f ca="1">ROUND((R314+R123)*M343,2)</f>
        <v>0</v>
      </c>
      <c r="J343" s="585"/>
      <c r="K343" s="1"/>
      <c r="L343" s="1"/>
      <c r="M343" s="230">
        <f ca="1">IFERROR(OFFSET(Регионы!$T$5,MATCH($C$11,Регионы!$B$6:$B$91,0),0,1,1)*Регионы!$T$4,1)</f>
        <v>1.01</v>
      </c>
      <c r="N343" s="1"/>
      <c r="O343" s="1"/>
      <c r="P343" s="62">
        <f t="shared" ca="1" si="198"/>
        <v>0</v>
      </c>
      <c r="Q343" s="17">
        <v>0.18</v>
      </c>
      <c r="R343" s="249">
        <f t="shared" ca="1" si="199"/>
        <v>0</v>
      </c>
      <c r="S343" s="85"/>
      <c r="AI343" s="60"/>
      <c r="AJ343" s="60"/>
      <c r="AK343" s="60"/>
      <c r="AL343" s="60"/>
    </row>
    <row r="344" spans="3:38" x14ac:dyDescent="0.2">
      <c r="C344" s="56" t="s">
        <v>1056</v>
      </c>
      <c r="D344" s="1"/>
      <c r="E344" s="195">
        <f>IFERROR(VLOOKUP($E$327,Таблица_индексов,Регионы!$I$3,FALSE),1)</f>
        <v>7.53</v>
      </c>
      <c r="F344" s="1"/>
      <c r="G344" s="524">
        <v>8.74</v>
      </c>
      <c r="H344" s="1"/>
      <c r="I344" s="584">
        <f ca="1">ROUND(R126*M344,2)</f>
        <v>636.16999999999996</v>
      </c>
      <c r="J344" s="585"/>
      <c r="K344" s="1"/>
      <c r="L344" s="1"/>
      <c r="M344" s="230">
        <f ca="1">IFERROR(OFFSET(Регионы!$U$5,MATCH($C$11,Регионы!$B$6:$B$91,0),0,1,1)*Регионы!$U$4,1)</f>
        <v>1.01</v>
      </c>
      <c r="N344" s="1"/>
      <c r="O344" s="1"/>
      <c r="P344" s="62">
        <f t="shared" ca="1" si="198"/>
        <v>4790.3599999999997</v>
      </c>
      <c r="Q344" s="17">
        <v>0.18</v>
      </c>
      <c r="R344" s="249">
        <f t="shared" ca="1" si="199"/>
        <v>5652.62</v>
      </c>
      <c r="S344" s="85"/>
      <c r="T344" s="85"/>
      <c r="AI344" s="60"/>
      <c r="AJ344" s="60"/>
      <c r="AK344" s="60"/>
      <c r="AL344" s="60"/>
    </row>
    <row r="345" spans="3:38" ht="13.15" hidden="1" x14ac:dyDescent="0.25">
      <c r="C345" s="56" t="s">
        <v>1057</v>
      </c>
      <c r="D345" s="1"/>
      <c r="E345" s="195">
        <f>IFERROR(VLOOKUP($E$327,Таблица_индексов,Регионы!$I$3,FALSE),1)</f>
        <v>7.53</v>
      </c>
      <c r="F345" s="1"/>
      <c r="G345" s="524">
        <v>8.74</v>
      </c>
      <c r="H345" s="1"/>
      <c r="I345" s="584">
        <f ca="1">ROUND(R199*M345,2)</f>
        <v>0</v>
      </c>
      <c r="J345" s="585"/>
      <c r="K345" s="1"/>
      <c r="L345" s="1"/>
      <c r="M345" s="230">
        <f ca="1">IFERROR(OFFSET(Регионы!$V$5,MATCH($C$11,Регионы!$B$6:$B$91,0),0,1,1)*Регионы!$V$4,1)</f>
        <v>1.01</v>
      </c>
      <c r="N345" s="1"/>
      <c r="O345" s="1"/>
      <c r="P345" s="62">
        <f t="shared" ca="1" si="198"/>
        <v>0</v>
      </c>
      <c r="Q345" s="17">
        <v>0.18</v>
      </c>
      <c r="R345" s="249">
        <f t="shared" ca="1" si="199"/>
        <v>0</v>
      </c>
      <c r="S345" s="85"/>
      <c r="T345" s="85"/>
      <c r="AI345" s="60"/>
      <c r="AJ345" s="60"/>
      <c r="AK345" s="60"/>
      <c r="AL345" s="60"/>
    </row>
    <row r="346" spans="3:38" x14ac:dyDescent="0.2">
      <c r="C346" s="56" t="s">
        <v>1058</v>
      </c>
      <c r="D346" s="1"/>
      <c r="E346" s="195">
        <f>IFERROR(VLOOKUP($E$327,Таблица_индексов,Регионы!$I$3,FALSE),1)</f>
        <v>7.53</v>
      </c>
      <c r="F346" s="1"/>
      <c r="G346" s="524">
        <v>8.74</v>
      </c>
      <c r="H346" s="1"/>
      <c r="I346" s="584">
        <f ca="1">ROUND((R316+R127)*M346,2)</f>
        <v>-0.02</v>
      </c>
      <c r="J346" s="585"/>
      <c r="K346" s="1"/>
      <c r="L346" s="1"/>
      <c r="M346" s="230">
        <f ca="1">IFERROR(OFFSET(Регионы!$T$5,MATCH($C$11,Регионы!$B$6:$B$91,0),0,1,1)*Регионы!$T$4,1)</f>
        <v>1.01</v>
      </c>
      <c r="N346" s="1"/>
      <c r="O346" s="1"/>
      <c r="P346" s="62">
        <f t="shared" ca="1" si="198"/>
        <v>-0.15</v>
      </c>
      <c r="Q346" s="17">
        <v>0.18</v>
      </c>
      <c r="R346" s="249">
        <f t="shared" ca="1" si="199"/>
        <v>-0.18</v>
      </c>
      <c r="S346" s="60"/>
      <c r="AI346" s="60"/>
      <c r="AJ346" s="60"/>
      <c r="AK346" s="60"/>
      <c r="AL346" s="60"/>
    </row>
    <row r="347" spans="3:38" x14ac:dyDescent="0.2">
      <c r="C347" s="1" t="s">
        <v>1059</v>
      </c>
      <c r="D347" s="1"/>
      <c r="E347" s="1"/>
      <c r="F347" s="1"/>
      <c r="G347" s="1"/>
      <c r="H347" s="1"/>
      <c r="I347" s="582">
        <f ca="1">I329+I332+I333+I338+I341+I344</f>
        <v>6855.47</v>
      </c>
      <c r="J347" s="583"/>
      <c r="K347" s="1"/>
      <c r="L347" s="1"/>
      <c r="M347" s="1"/>
      <c r="N347" s="1"/>
      <c r="O347" s="1"/>
      <c r="P347" s="62">
        <f ca="1">P329+P332+P333+P338+P341+P344</f>
        <v>30547.02</v>
      </c>
      <c r="Q347" s="17"/>
      <c r="R347" s="249">
        <f ca="1">R329+R332+R333+R338+R341+R344</f>
        <v>36045.480000000003</v>
      </c>
      <c r="S347" s="60"/>
      <c r="AI347" s="60"/>
      <c r="AJ347" s="60"/>
      <c r="AK347" s="60"/>
      <c r="AL347" s="60"/>
    </row>
    <row r="348" spans="3:38" ht="13.15" hidden="1" x14ac:dyDescent="0.25">
      <c r="C348" s="1" t="s">
        <v>1060</v>
      </c>
      <c r="D348" s="1"/>
      <c r="E348" s="1"/>
      <c r="F348" s="1"/>
      <c r="G348" s="1"/>
      <c r="H348" s="1"/>
      <c r="I348" s="582">
        <f ca="1">I330+I334+I335+I339+I342+I345</f>
        <v>0</v>
      </c>
      <c r="J348" s="583"/>
      <c r="K348" s="1"/>
      <c r="L348" s="1"/>
      <c r="M348" s="1"/>
      <c r="N348" s="1"/>
      <c r="O348" s="1"/>
      <c r="P348" s="62">
        <f ca="1">P330+P334+P335+P339+P342+P345</f>
        <v>0</v>
      </c>
      <c r="Q348" s="17"/>
      <c r="R348" s="249">
        <f ca="1">R330+R334+R335+R339+R342+R345</f>
        <v>0</v>
      </c>
      <c r="S348" s="60"/>
      <c r="AI348" s="60"/>
      <c r="AJ348" s="60"/>
      <c r="AK348" s="60"/>
      <c r="AL348" s="60"/>
    </row>
    <row r="349" spans="3:38" x14ac:dyDescent="0.2">
      <c r="C349" s="1" t="s">
        <v>1061</v>
      </c>
      <c r="D349" s="1"/>
      <c r="E349" s="1"/>
      <c r="F349" s="1"/>
      <c r="G349" s="1"/>
      <c r="H349" s="1"/>
      <c r="I349" s="582">
        <f ca="1">I331+I336+I337+I340+I343+I346</f>
        <v>-0.02</v>
      </c>
      <c r="J349" s="583"/>
      <c r="K349" s="1"/>
      <c r="L349" s="1"/>
      <c r="M349" s="1"/>
      <c r="N349" s="1"/>
      <c r="O349" s="1"/>
      <c r="P349" s="62">
        <f ca="1">P331+P336+P337+P340+P343+P346</f>
        <v>-0.15</v>
      </c>
      <c r="Q349" s="17"/>
      <c r="R349" s="249">
        <f ca="1">R331+R336+R337+R340+R343+R346</f>
        <v>-0.18</v>
      </c>
      <c r="S349" s="85"/>
      <c r="AI349" s="60"/>
      <c r="AJ349" s="60"/>
      <c r="AK349" s="60"/>
      <c r="AL349" s="60"/>
    </row>
    <row r="350" spans="3:38" x14ac:dyDescent="0.2">
      <c r="S350" s="60"/>
      <c r="AI350" s="60"/>
      <c r="AJ350" s="60"/>
      <c r="AK350" s="60"/>
      <c r="AL350" s="60"/>
    </row>
    <row r="351" spans="3:38" ht="14.25" x14ac:dyDescent="0.2">
      <c r="I351" s="580" t="s">
        <v>507</v>
      </c>
      <c r="J351" s="580"/>
      <c r="K351" s="580"/>
      <c r="L351" s="580"/>
      <c r="M351" s="580"/>
      <c r="N351" s="580"/>
      <c r="O351" s="580"/>
      <c r="P351" s="580"/>
      <c r="Q351" s="580"/>
      <c r="R351" s="580"/>
      <c r="AI351" s="60"/>
      <c r="AJ351" s="60"/>
      <c r="AK351" s="60"/>
      <c r="AL351" s="60"/>
    </row>
    <row r="352" spans="3:38" ht="30.75" customHeight="1" x14ac:dyDescent="0.2">
      <c r="C352" s="598" t="s">
        <v>1101</v>
      </c>
      <c r="D352" s="36"/>
      <c r="E352" s="615" t="str">
        <f>IF(ISBLANK($P$11),"в базовых ценах (период расчета текущих цен не задан)","в текущих ценах "&amp;$P$11)</f>
        <v>в текущих ценах IV кв. 2017 г.</v>
      </c>
      <c r="F352" s="616"/>
      <c r="G352" s="616"/>
      <c r="H352" s="617"/>
      <c r="I352" s="618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(2023 г.)</v>
      </c>
      <c r="J352" s="619"/>
      <c r="K352" s="619"/>
      <c r="L352" s="619"/>
      <c r="M352" s="619"/>
      <c r="N352" s="620"/>
      <c r="O352" s="120"/>
      <c r="P352" s="581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2" s="581"/>
      <c r="R352" s="581"/>
      <c r="AI352" s="60"/>
      <c r="AJ352" s="60"/>
      <c r="AK352" s="60"/>
      <c r="AL352" s="60"/>
    </row>
    <row r="353" spans="3:38" x14ac:dyDescent="0.2">
      <c r="C353" s="599"/>
      <c r="D353" s="37"/>
      <c r="E353" s="602" t="s">
        <v>504</v>
      </c>
      <c r="F353" s="603"/>
      <c r="G353" s="602" t="s">
        <v>505</v>
      </c>
      <c r="H353" s="603"/>
      <c r="I353" s="602" t="s">
        <v>504</v>
      </c>
      <c r="J353" s="603"/>
      <c r="K353" s="113" t="s">
        <v>315</v>
      </c>
      <c r="L353" s="113"/>
      <c r="M353" s="113"/>
      <c r="N353" s="113" t="s">
        <v>505</v>
      </c>
      <c r="O353" s="113"/>
      <c r="P353" s="113" t="s">
        <v>504</v>
      </c>
      <c r="Q353" s="113" t="s">
        <v>315</v>
      </c>
      <c r="R353" s="113" t="s">
        <v>505</v>
      </c>
      <c r="T353" s="213">
        <f ca="1">IF(I328-(R109+R187+R305),(R109+R187+R305)/(I328-(R109+R187+R305)))</f>
        <v>2.4933170670446189E-2</v>
      </c>
      <c r="AI353" s="60"/>
      <c r="AJ353" s="60"/>
      <c r="AK353" s="60"/>
      <c r="AL353" s="60"/>
    </row>
    <row r="354" spans="3:38" x14ac:dyDescent="0.2">
      <c r="C354" s="28" t="s">
        <v>246</v>
      </c>
      <c r="D354" s="38"/>
      <c r="E354" s="614">
        <f ca="1">E373+E374+E375</f>
        <v>36466.46</v>
      </c>
      <c r="F354" s="614"/>
      <c r="G354" s="614">
        <f ca="1">G373+G374+G375</f>
        <v>43030.42</v>
      </c>
      <c r="H354" s="614"/>
      <c r="I354" s="614">
        <f ca="1">I373+I374+I375</f>
        <v>55466.549999999996</v>
      </c>
      <c r="J354" s="614"/>
      <c r="K354" s="1"/>
      <c r="L354" s="1"/>
      <c r="M354" s="1"/>
      <c r="N354" s="104">
        <f ca="1">N373+N374+N375</f>
        <v>65450.530000000006</v>
      </c>
      <c r="O354" s="104"/>
      <c r="P354" s="492">
        <f ca="1">P373+P374+P375</f>
        <v>38826.58</v>
      </c>
      <c r="Q354" s="19"/>
      <c r="R354" s="258">
        <f ca="1">R373+R374+R375</f>
        <v>45815.360000000001</v>
      </c>
      <c r="T354" s="104">
        <f ca="1">SUM(T355:T372)</f>
        <v>37882.060129444457</v>
      </c>
      <c r="U354" s="86"/>
      <c r="AF354" s="85"/>
      <c r="AI354" s="60"/>
      <c r="AJ354" s="60"/>
      <c r="AK354" s="60"/>
      <c r="AL354" s="60"/>
    </row>
    <row r="355" spans="3:38" x14ac:dyDescent="0.2">
      <c r="C355" s="1" t="str">
        <f>C329</f>
        <v>Проектно-изыскательские работы ВЛ</v>
      </c>
      <c r="D355" s="39"/>
      <c r="E355" s="582">
        <f ca="1">ROUND(I329*G329,2)</f>
        <v>1925.69</v>
      </c>
      <c r="F355" s="583"/>
      <c r="G355" s="582">
        <f t="shared" ref="G355:G364" ca="1" si="202">ROUND(E355*(1+Q329),2)</f>
        <v>2272.31</v>
      </c>
      <c r="H355" s="583">
        <f t="shared" ref="H355" ca="1" si="203">ROUND(F355*(1+G355),2)</f>
        <v>0</v>
      </c>
      <c r="I355" s="582">
        <f ca="1">SUM(Снижение!G18:W18)</f>
        <v>3093.52</v>
      </c>
      <c r="J355" s="583"/>
      <c r="K355" s="17">
        <v>0.18</v>
      </c>
      <c r="L355" s="1"/>
      <c r="M355" s="1"/>
      <c r="N355" s="62">
        <f ca="1">ROUND(I355*(1+K355),2)</f>
        <v>3650.35</v>
      </c>
      <c r="O355" s="62"/>
      <c r="P355" s="62">
        <f ca="1">IF(Снижение!$E$9,Снижение!X18,E355)</f>
        <v>2165.46</v>
      </c>
      <c r="Q355" s="17">
        <v>0.18</v>
      </c>
      <c r="R355" s="249">
        <f ca="1">ROUND(P355*(1+Q355),2)</f>
        <v>2555.2399999999998</v>
      </c>
      <c r="T355" s="62">
        <f ca="1">IF(Снижение!$E$9,Снижение!X18,IF($P$11=0,I329,E355))/(1+$T$353)</f>
        <v>2112.7816544209354</v>
      </c>
      <c r="AF355" s="85"/>
      <c r="AI355" s="60"/>
      <c r="AJ355" s="60"/>
      <c r="AK355" s="60"/>
      <c r="AL355" s="60"/>
    </row>
    <row r="356" spans="3:38" ht="13.15" hidden="1" x14ac:dyDescent="0.25">
      <c r="C356" s="1" t="str">
        <f>C330</f>
        <v>Проектно-изыскательские работы КЛ</v>
      </c>
      <c r="D356" s="39"/>
      <c r="E356" s="582">
        <f ca="1">ROUND(I330*G330,2)</f>
        <v>0</v>
      </c>
      <c r="F356" s="583"/>
      <c r="G356" s="582">
        <f t="shared" ca="1" si="202"/>
        <v>0</v>
      </c>
      <c r="H356" s="583">
        <f t="shared" ref="H356" ca="1" si="204">ROUND(F356*(1+G356),2)</f>
        <v>0</v>
      </c>
      <c r="I356" s="582">
        <f ca="1">SUM(Снижение!G19:W19)</f>
        <v>0</v>
      </c>
      <c r="J356" s="583"/>
      <c r="K356" s="17">
        <v>0.18</v>
      </c>
      <c r="L356" s="1"/>
      <c r="M356" s="1"/>
      <c r="N356" s="62">
        <f t="shared" ref="N356:N372" ca="1" si="205">ROUND(I356*(1+K356),2)</f>
        <v>0</v>
      </c>
      <c r="O356" s="62"/>
      <c r="P356" s="62">
        <f ca="1">IF(Снижение!$E$9,Снижение!X19,E356)</f>
        <v>0</v>
      </c>
      <c r="Q356" s="17">
        <v>0.18</v>
      </c>
      <c r="R356" s="249">
        <f t="shared" ref="R356:R372" ca="1" si="206">ROUND(P356*(1+Q356),2)</f>
        <v>0</v>
      </c>
      <c r="T356" s="62">
        <f ca="1">IF(Снижение!$E$9,Снижение!X19,IF($P$11=0,I330,E356))/(1+$T$353)</f>
        <v>0</v>
      </c>
      <c r="AF356" s="85"/>
      <c r="AI356" s="60"/>
      <c r="AJ356" s="60"/>
      <c r="AK356" s="60"/>
      <c r="AL356" s="60"/>
    </row>
    <row r="357" spans="3:38" ht="13.15" hidden="1" x14ac:dyDescent="0.25">
      <c r="C357" s="1" t="str">
        <f>C331</f>
        <v>Проектно-изыскательские работы ПС</v>
      </c>
      <c r="D357" s="39"/>
      <c r="E357" s="582">
        <f ca="1">ROUND(I331*G331,2)</f>
        <v>0</v>
      </c>
      <c r="F357" s="583"/>
      <c r="G357" s="582">
        <f t="shared" ca="1" si="202"/>
        <v>0</v>
      </c>
      <c r="H357" s="583">
        <f t="shared" ref="H357:H372" ca="1" si="207">ROUND(F357*(1+G357),2)</f>
        <v>0</v>
      </c>
      <c r="I357" s="582">
        <f ca="1">SUM(Снижение!G20:W20)</f>
        <v>0</v>
      </c>
      <c r="J357" s="583"/>
      <c r="K357" s="17">
        <v>0.18</v>
      </c>
      <c r="L357" s="1"/>
      <c r="M357" s="1"/>
      <c r="N357" s="62">
        <f t="shared" ca="1" si="205"/>
        <v>0</v>
      </c>
      <c r="O357" s="62"/>
      <c r="P357" s="62">
        <f ca="1">IF(Снижение!$E$9,Снижение!X20,E357)</f>
        <v>0</v>
      </c>
      <c r="Q357" s="17">
        <v>0.18</v>
      </c>
      <c r="R357" s="249">
        <f t="shared" ca="1" si="206"/>
        <v>0</v>
      </c>
      <c r="T357" s="62">
        <f ca="1">IF(Снижение!$E$9,Снижение!X20,IF($P$11=0,I331,E357))/(1+$T$353)</f>
        <v>0</v>
      </c>
      <c r="AI357" s="60"/>
      <c r="AJ357" s="60"/>
      <c r="AK357" s="60"/>
      <c r="AL357" s="60"/>
    </row>
    <row r="358" spans="3:38" x14ac:dyDescent="0.2">
      <c r="C358" s="1" t="str">
        <f>C332</f>
        <v>СМР по ВЛ до 20 кВ</v>
      </c>
      <c r="D358" s="39"/>
      <c r="E358" s="582">
        <f ca="1">ROUND(I332*G332,2)</f>
        <v>27860.55</v>
      </c>
      <c r="F358" s="583"/>
      <c r="G358" s="582">
        <f t="shared" ca="1" si="202"/>
        <v>32875.449999999997</v>
      </c>
      <c r="H358" s="583">
        <f t="shared" ca="1" si="207"/>
        <v>0</v>
      </c>
      <c r="I358" s="582">
        <f ca="1">SUM(Снижение!G21:W21)</f>
        <v>41924.949999999997</v>
      </c>
      <c r="J358" s="583"/>
      <c r="K358" s="17">
        <v>0.18</v>
      </c>
      <c r="L358" s="1"/>
      <c r="M358" s="1"/>
      <c r="N358" s="62">
        <f t="shared" ca="1" si="205"/>
        <v>49471.44</v>
      </c>
      <c r="O358" s="62"/>
      <c r="P358" s="62">
        <f ca="1">IF(Снижение!$E$9,Снижение!X21,E358)</f>
        <v>29347.47</v>
      </c>
      <c r="Q358" s="17">
        <v>0.18</v>
      </c>
      <c r="R358" s="249">
        <f t="shared" ca="1" si="206"/>
        <v>34630.01</v>
      </c>
      <c r="T358" s="62">
        <f ca="1">IF(Снижение!$E$9,Снижение!X21,IF($P$11=0,I332,E358))/(1+$T$353)</f>
        <v>28633.54493718137</v>
      </c>
      <c r="AI358" s="60"/>
      <c r="AJ358" s="60"/>
      <c r="AK358" s="60"/>
      <c r="AL358" s="60"/>
    </row>
    <row r="359" spans="3:38" ht="13.15" hidden="1" x14ac:dyDescent="0.25">
      <c r="C359" s="1" t="str">
        <f>C333</f>
        <v>СМР по ВЛ 35 кВ и выше</v>
      </c>
      <c r="D359" s="39"/>
      <c r="E359" s="582">
        <f ca="1">ROUND(I333*G333,2)</f>
        <v>0</v>
      </c>
      <c r="F359" s="583"/>
      <c r="G359" s="582">
        <f t="shared" ca="1" si="202"/>
        <v>0</v>
      </c>
      <c r="H359" s="583">
        <f ca="1">ROUND(F359*(1+G359),2)</f>
        <v>0</v>
      </c>
      <c r="I359" s="582">
        <f ca="1">SUM(Снижение!G22:W22)</f>
        <v>0</v>
      </c>
      <c r="J359" s="583"/>
      <c r="K359" s="17">
        <v>0.18</v>
      </c>
      <c r="L359" s="1"/>
      <c r="M359" s="1"/>
      <c r="N359" s="62">
        <f ca="1">ROUND(I359*(1+K359),2)</f>
        <v>0</v>
      </c>
      <c r="O359" s="62"/>
      <c r="P359" s="62">
        <f ca="1">IF(Снижение!$E$9,Снижение!X22,E359)</f>
        <v>0</v>
      </c>
      <c r="Q359" s="17">
        <v>0.18</v>
      </c>
      <c r="R359" s="249">
        <f ca="1">ROUND(P359*(1+Q359),2)</f>
        <v>0</v>
      </c>
      <c r="T359" s="62">
        <f ca="1">IF(Снижение!$E$9,Снижение!X22,IF($P$11=0,I333,E359))/(1+$T$353)</f>
        <v>0</v>
      </c>
      <c r="AI359" s="60"/>
      <c r="AJ359" s="60"/>
      <c r="AK359" s="60"/>
      <c r="AL359" s="60"/>
    </row>
    <row r="360" spans="3:38" ht="13.15" hidden="1" x14ac:dyDescent="0.25">
      <c r="C360" s="1" t="str">
        <f t="shared" ref="C360" si="208">C334</f>
        <v>СМР по КЛ до 10 кВ</v>
      </c>
      <c r="D360" s="39"/>
      <c r="E360" s="582">
        <f t="shared" ref="E360" ca="1" si="209">ROUND(I334*G334,2)</f>
        <v>0</v>
      </c>
      <c r="F360" s="583"/>
      <c r="G360" s="582">
        <f t="shared" ca="1" si="202"/>
        <v>0</v>
      </c>
      <c r="H360" s="583">
        <f t="shared" ca="1" si="207"/>
        <v>0</v>
      </c>
      <c r="I360" s="582">
        <f ca="1">SUM(Снижение!G24:W24)</f>
        <v>0</v>
      </c>
      <c r="J360" s="583"/>
      <c r="K360" s="17">
        <v>0.18</v>
      </c>
      <c r="L360" s="1"/>
      <c r="M360" s="1"/>
      <c r="N360" s="62">
        <f t="shared" ca="1" si="205"/>
        <v>0</v>
      </c>
      <c r="O360" s="62"/>
      <c r="P360" s="62">
        <f ca="1">IF(Снижение!$E$9,Снижение!X24,E360)</f>
        <v>0</v>
      </c>
      <c r="Q360" s="17">
        <v>0.18</v>
      </c>
      <c r="R360" s="249">
        <f t="shared" ca="1" si="206"/>
        <v>0</v>
      </c>
      <c r="T360" s="62">
        <f ca="1">IF(Снижение!$E$9,Снижение!X24,IF($P$11=0,I334,E360))/(1+$T$353)</f>
        <v>0</v>
      </c>
      <c r="AI360" s="60"/>
      <c r="AJ360" s="60"/>
      <c r="AK360" s="60"/>
      <c r="AL360" s="60"/>
    </row>
    <row r="361" spans="3:38" ht="13.15" hidden="1" x14ac:dyDescent="0.25">
      <c r="C361" s="1" t="str">
        <f>C335</f>
        <v>СМР по КЛ 20 кВ и выше</v>
      </c>
      <c r="D361" s="39"/>
      <c r="E361" s="582">
        <f t="shared" ref="E361" ca="1" si="210">ROUND(I335*G335,2)</f>
        <v>0</v>
      </c>
      <c r="F361" s="583"/>
      <c r="G361" s="582">
        <f t="shared" ca="1" si="202"/>
        <v>0</v>
      </c>
      <c r="H361" s="583">
        <f t="shared" ca="1" si="207"/>
        <v>0</v>
      </c>
      <c r="I361" s="582">
        <f ca="1">SUM(Снижение!G25:W25)</f>
        <v>0</v>
      </c>
      <c r="J361" s="583"/>
      <c r="K361" s="17">
        <v>0.18</v>
      </c>
      <c r="L361" s="1"/>
      <c r="M361" s="1"/>
      <c r="N361" s="62">
        <f t="shared" ca="1" si="205"/>
        <v>0</v>
      </c>
      <c r="O361" s="62"/>
      <c r="P361" s="62">
        <f ca="1">IF(Снижение!$E$9,Снижение!X25,E361)</f>
        <v>0</v>
      </c>
      <c r="Q361" s="17">
        <v>0.18</v>
      </c>
      <c r="R361" s="249">
        <f t="shared" ca="1" si="206"/>
        <v>0</v>
      </c>
      <c r="T361" s="62">
        <f ca="1">IF(Снижение!$E$9,Снижение!X25,IF($P$11=0,I335,E361))/(1+$T$353)</f>
        <v>0</v>
      </c>
      <c r="AI361" s="60"/>
      <c r="AJ361" s="60"/>
      <c r="AK361" s="60"/>
      <c r="AL361" s="60"/>
    </row>
    <row r="362" spans="3:38" ht="13.15" hidden="1" x14ac:dyDescent="0.25">
      <c r="C362" s="1" t="str">
        <f>C336</f>
        <v>СМР по ТП до 10 кВ</v>
      </c>
      <c r="D362" s="39"/>
      <c r="E362" s="582">
        <f ca="1">ROUND(I336*G336,2)</f>
        <v>0</v>
      </c>
      <c r="F362" s="583"/>
      <c r="G362" s="582">
        <f t="shared" ca="1" si="202"/>
        <v>0</v>
      </c>
      <c r="H362" s="583">
        <f ca="1">ROUND(F362*(1+G362),2)</f>
        <v>0</v>
      </c>
      <c r="I362" s="582">
        <f ca="1">SUM(Снижение!G23:W23)</f>
        <v>0</v>
      </c>
      <c r="J362" s="583"/>
      <c r="K362" s="17">
        <v>0.18</v>
      </c>
      <c r="L362" s="1"/>
      <c r="M362" s="1"/>
      <c r="N362" s="62">
        <f ca="1">ROUND(I362*(1+K362),2)</f>
        <v>0</v>
      </c>
      <c r="O362" s="62"/>
      <c r="P362" s="62">
        <f ca="1">IF(Снижение!$E$9,Снижение!X23,E362)</f>
        <v>0</v>
      </c>
      <c r="Q362" s="17">
        <v>0.18</v>
      </c>
      <c r="R362" s="249">
        <f ca="1">ROUND(P362*(1+Q362),2)</f>
        <v>0</v>
      </c>
      <c r="T362" s="62">
        <f ca="1">IF(Снижение!$E$9,Снижение!X23,IF($P$11=0,I336,E362))/(1+$T$353)</f>
        <v>0</v>
      </c>
      <c r="AI362" s="60"/>
      <c r="AJ362" s="60"/>
      <c r="AK362" s="60"/>
      <c r="AL362" s="60"/>
    </row>
    <row r="363" spans="3:38" ht="13.15" hidden="1" x14ac:dyDescent="0.25">
      <c r="C363" s="1" t="str">
        <f t="shared" ref="C363:C372" si="211">C337</f>
        <v>СМР по ПС</v>
      </c>
      <c r="D363" s="39"/>
      <c r="E363" s="582">
        <f t="shared" ref="E363" ca="1" si="212">ROUND(I337*G337,2)</f>
        <v>0</v>
      </c>
      <c r="F363" s="583"/>
      <c r="G363" s="582">
        <f t="shared" ca="1" si="202"/>
        <v>0</v>
      </c>
      <c r="H363" s="583">
        <f t="shared" ref="H363" ca="1" si="213">ROUND(F363*(1+G363),2)</f>
        <v>0</v>
      </c>
      <c r="I363" s="582">
        <f ca="1">SUM(Снижение!G26:W26)</f>
        <v>0</v>
      </c>
      <c r="J363" s="583"/>
      <c r="K363" s="17">
        <v>0.18</v>
      </c>
      <c r="L363" s="1"/>
      <c r="M363" s="1"/>
      <c r="N363" s="62">
        <f t="shared" ca="1" si="205"/>
        <v>0</v>
      </c>
      <c r="O363" s="62"/>
      <c r="P363" s="62">
        <f ca="1">IF(Снижение!$E$9,Снижение!X26,E363)</f>
        <v>0</v>
      </c>
      <c r="Q363" s="17">
        <v>0.18</v>
      </c>
      <c r="R363" s="249">
        <f t="shared" ca="1" si="206"/>
        <v>0</v>
      </c>
      <c r="T363" s="62">
        <f ca="1">IF(Снижение!$E$9,Снижение!X26,IF($P$11=0,I337,E363))/(1+$T$353)</f>
        <v>0</v>
      </c>
      <c r="AI363" s="60"/>
      <c r="AJ363" s="60"/>
      <c r="AK363" s="60"/>
      <c r="AL363" s="60"/>
    </row>
    <row r="364" spans="3:38" x14ac:dyDescent="0.2">
      <c r="C364" s="1" t="str">
        <f t="shared" si="211"/>
        <v>Оборудование ВЛ</v>
      </c>
      <c r="D364" s="39"/>
      <c r="E364" s="582">
        <f t="shared" ref="E364" ca="1" si="214">ROUND(I338*G338,2)</f>
        <v>1120.26</v>
      </c>
      <c r="F364" s="583"/>
      <c r="G364" s="582">
        <f t="shared" ca="1" si="202"/>
        <v>1321.91</v>
      </c>
      <c r="H364" s="583">
        <f t="shared" ref="H364" ca="1" si="215">ROUND(F364*(1+G364),2)</f>
        <v>0</v>
      </c>
      <c r="I364" s="582">
        <f ca="1">SUM(Снижение!G27:W27)</f>
        <v>1750.09</v>
      </c>
      <c r="J364" s="583"/>
      <c r="K364" s="17">
        <v>0.18</v>
      </c>
      <c r="L364" s="1"/>
      <c r="M364" s="1"/>
      <c r="N364" s="62">
        <f t="shared" ca="1" si="205"/>
        <v>2065.11</v>
      </c>
      <c r="O364" s="62"/>
      <c r="P364" s="62">
        <f ca="1">IF(Снижение!$E$9,Снижение!X27,E364)</f>
        <v>1225.06</v>
      </c>
      <c r="Q364" s="17">
        <v>0.18</v>
      </c>
      <c r="R364" s="249">
        <f t="shared" ca="1" si="206"/>
        <v>1445.57</v>
      </c>
      <c r="T364" s="62">
        <f ca="1">IF(Снижение!$E$9,Снижение!X27,IF($P$11=0,I338,E364))/(1+$T$353)</f>
        <v>1195.2584178719121</v>
      </c>
      <c r="AI364" s="60"/>
      <c r="AJ364" s="60"/>
      <c r="AK364" s="60"/>
      <c r="AL364" s="60"/>
    </row>
    <row r="365" spans="3:38" ht="13.15" hidden="1" x14ac:dyDescent="0.25">
      <c r="C365" s="1" t="str">
        <f t="shared" si="211"/>
        <v>Оборудование КЛ</v>
      </c>
      <c r="D365" s="39"/>
      <c r="E365" s="582">
        <f t="shared" ref="E365:E369" ca="1" si="216">ROUND(I339*G339,2)</f>
        <v>0</v>
      </c>
      <c r="F365" s="583"/>
      <c r="G365" s="582">
        <f t="shared" ref="G365:G372" ca="1" si="217">ROUND(E365*(1+Q338),2)</f>
        <v>0</v>
      </c>
      <c r="H365" s="583">
        <f t="shared" ca="1" si="207"/>
        <v>0</v>
      </c>
      <c r="I365" s="582">
        <f ca="1">SUM(Снижение!G28:W28)</f>
        <v>0</v>
      </c>
      <c r="J365" s="583"/>
      <c r="K365" s="17">
        <v>0.18</v>
      </c>
      <c r="L365" s="1"/>
      <c r="M365" s="1"/>
      <c r="N365" s="62">
        <f t="shared" ca="1" si="205"/>
        <v>0</v>
      </c>
      <c r="O365" s="62"/>
      <c r="P365" s="62">
        <f ca="1">IF(Снижение!$E$9,Снижение!X28,E365)</f>
        <v>0</v>
      </c>
      <c r="Q365" s="17">
        <v>0.18</v>
      </c>
      <c r="R365" s="249">
        <f t="shared" ca="1" si="206"/>
        <v>0</v>
      </c>
      <c r="T365" s="62">
        <f ca="1">IF(Снижение!$E$9,Снижение!X28,IF($P$11=0,I339,E365))/(1+$T$353)</f>
        <v>0</v>
      </c>
      <c r="AI365" s="60"/>
      <c r="AJ365" s="60"/>
      <c r="AK365" s="60"/>
      <c r="AL365" s="60"/>
    </row>
    <row r="366" spans="3:38" ht="13.15" hidden="1" x14ac:dyDescent="0.25">
      <c r="C366" s="1" t="str">
        <f t="shared" si="211"/>
        <v>Оборудование ПС</v>
      </c>
      <c r="D366" s="39"/>
      <c r="E366" s="582">
        <f t="shared" ca="1" si="216"/>
        <v>0</v>
      </c>
      <c r="F366" s="583"/>
      <c r="G366" s="582">
        <f t="shared" ca="1" si="217"/>
        <v>0</v>
      </c>
      <c r="H366" s="583">
        <f t="shared" ca="1" si="207"/>
        <v>0</v>
      </c>
      <c r="I366" s="582">
        <f ca="1">SUM(Снижение!G29:W29)</f>
        <v>0</v>
      </c>
      <c r="J366" s="583"/>
      <c r="K366" s="17">
        <v>0.18</v>
      </c>
      <c r="L366" s="1"/>
      <c r="M366" s="1"/>
      <c r="N366" s="62">
        <f t="shared" ca="1" si="205"/>
        <v>0</v>
      </c>
      <c r="O366" s="62"/>
      <c r="P366" s="62">
        <f ca="1">IF(Снижение!$E$9,Снижение!X29,E366)</f>
        <v>0</v>
      </c>
      <c r="Q366" s="17">
        <v>0.18</v>
      </c>
      <c r="R366" s="249">
        <f t="shared" ca="1" si="206"/>
        <v>0</v>
      </c>
      <c r="T366" s="62">
        <f ca="1">IF(Снижение!$E$9,Снижение!X29,IF($P$11=0,I340,E366))/(1+$T$353)</f>
        <v>0</v>
      </c>
      <c r="AI366" s="60"/>
      <c r="AJ366" s="60"/>
      <c r="AK366" s="60"/>
      <c r="AL366" s="60"/>
    </row>
    <row r="367" spans="3:38" ht="13.15" hidden="1" x14ac:dyDescent="0.25">
      <c r="C367" s="1" t="str">
        <f t="shared" si="211"/>
        <v>Пусконаладочные работы ВЛ</v>
      </c>
      <c r="D367" s="39"/>
      <c r="E367" s="582">
        <f t="shared" ca="1" si="216"/>
        <v>0</v>
      </c>
      <c r="F367" s="583"/>
      <c r="G367" s="582">
        <f t="shared" ca="1" si="217"/>
        <v>0</v>
      </c>
      <c r="H367" s="583">
        <f t="shared" ca="1" si="207"/>
        <v>0</v>
      </c>
      <c r="I367" s="582">
        <f ca="1">SUM(Снижение!G30:W30)</f>
        <v>0</v>
      </c>
      <c r="J367" s="583"/>
      <c r="K367" s="17">
        <v>0.18</v>
      </c>
      <c r="L367" s="1"/>
      <c r="M367" s="1"/>
      <c r="N367" s="62">
        <f t="shared" ca="1" si="205"/>
        <v>0</v>
      </c>
      <c r="O367" s="62"/>
      <c r="P367" s="62">
        <f ca="1">IF(Снижение!$E$9,Снижение!X30,E367)</f>
        <v>0</v>
      </c>
      <c r="Q367" s="17">
        <v>0.18</v>
      </c>
      <c r="R367" s="249">
        <f t="shared" ca="1" si="206"/>
        <v>0</v>
      </c>
      <c r="T367" s="62">
        <f ca="1">IF(Снижение!$E$9,Снижение!X30,IF($P$11=0,I341,E367))/(1+$T$353)</f>
        <v>0</v>
      </c>
      <c r="AI367" s="60"/>
      <c r="AJ367" s="60"/>
      <c r="AK367" s="60"/>
      <c r="AL367" s="60"/>
    </row>
    <row r="368" spans="3:38" ht="13.15" hidden="1" x14ac:dyDescent="0.25">
      <c r="C368" s="1" t="str">
        <f t="shared" si="211"/>
        <v>Пусконаладочные работы КЛ</v>
      </c>
      <c r="D368" s="39"/>
      <c r="E368" s="582">
        <f t="shared" ca="1" si="216"/>
        <v>0</v>
      </c>
      <c r="F368" s="583"/>
      <c r="G368" s="582">
        <f t="shared" ca="1" si="217"/>
        <v>0</v>
      </c>
      <c r="H368" s="583">
        <f t="shared" ca="1" si="207"/>
        <v>0</v>
      </c>
      <c r="I368" s="582">
        <f ca="1">SUM(Снижение!G31:W31)</f>
        <v>0</v>
      </c>
      <c r="J368" s="583"/>
      <c r="K368" s="17">
        <v>0.18</v>
      </c>
      <c r="L368" s="1"/>
      <c r="M368" s="1"/>
      <c r="N368" s="62">
        <f t="shared" ca="1" si="205"/>
        <v>0</v>
      </c>
      <c r="O368" s="62"/>
      <c r="P368" s="62">
        <f ca="1">IF(Снижение!$E$9,Снижение!X31,E368)</f>
        <v>0</v>
      </c>
      <c r="Q368" s="17">
        <v>0.18</v>
      </c>
      <c r="R368" s="249">
        <f t="shared" ca="1" si="206"/>
        <v>0</v>
      </c>
      <c r="T368" s="62">
        <f ca="1">IF(Снижение!$E$9,Снижение!X31,IF($P$11=0,I342,E368))/(1+$T$353)</f>
        <v>0</v>
      </c>
      <c r="AI368" s="60"/>
      <c r="AJ368" s="60"/>
      <c r="AK368" s="60"/>
      <c r="AL368" s="60"/>
    </row>
    <row r="369" spans="1:38" ht="13.15" hidden="1" x14ac:dyDescent="0.25">
      <c r="C369" s="1" t="str">
        <f t="shared" si="211"/>
        <v>Пусконаладочные работы ПС</v>
      </c>
      <c r="D369" s="39"/>
      <c r="E369" s="582">
        <f t="shared" ca="1" si="216"/>
        <v>0</v>
      </c>
      <c r="F369" s="583"/>
      <c r="G369" s="582">
        <f t="shared" ca="1" si="217"/>
        <v>0</v>
      </c>
      <c r="H369" s="583">
        <f t="shared" ca="1" si="207"/>
        <v>0</v>
      </c>
      <c r="I369" s="582">
        <f ca="1">SUM(Снижение!G32:W32)</f>
        <v>0</v>
      </c>
      <c r="J369" s="583"/>
      <c r="K369" s="17">
        <v>0.18</v>
      </c>
      <c r="L369" s="1"/>
      <c r="M369" s="1"/>
      <c r="N369" s="62">
        <f t="shared" ca="1" si="205"/>
        <v>0</v>
      </c>
      <c r="O369" s="62"/>
      <c r="P369" s="62">
        <f ca="1">IF(Снижение!$E$9,Снижение!X32,E369)</f>
        <v>0</v>
      </c>
      <c r="Q369" s="17">
        <v>0.18</v>
      </c>
      <c r="R369" s="249">
        <f t="shared" ca="1" si="206"/>
        <v>0</v>
      </c>
      <c r="T369" s="62">
        <f ca="1">IF(Снижение!$E$9,Снижение!X32,IF($P$11=0,I343,E369))/(1+$T$353)</f>
        <v>0</v>
      </c>
      <c r="AI369" s="60"/>
      <c r="AJ369" s="60"/>
      <c r="AK369" s="60"/>
      <c r="AL369" s="60"/>
    </row>
    <row r="370" spans="1:38" x14ac:dyDescent="0.2">
      <c r="C370" s="56" t="str">
        <f t="shared" si="211"/>
        <v>Прочие затраты ВЛ</v>
      </c>
      <c r="D370" s="39"/>
      <c r="E370" s="582">
        <f ca="1">ROUND(I344*G344,2)</f>
        <v>5560.13</v>
      </c>
      <c r="F370" s="583"/>
      <c r="G370" s="582">
        <f t="shared" ca="1" si="217"/>
        <v>6560.95</v>
      </c>
      <c r="H370" s="583">
        <f t="shared" ca="1" si="207"/>
        <v>0</v>
      </c>
      <c r="I370" s="582">
        <f ca="1">SUM(Снижение!G33:W33)</f>
        <v>8698.26</v>
      </c>
      <c r="J370" s="583"/>
      <c r="K370" s="17">
        <v>0.18</v>
      </c>
      <c r="L370" s="1"/>
      <c r="M370" s="1"/>
      <c r="N370" s="62">
        <f t="shared" ca="1" si="205"/>
        <v>10263.950000000001</v>
      </c>
      <c r="O370" s="62"/>
      <c r="P370" s="62">
        <f ca="1">IF(Снижение!$E$9,Снижение!X33,E370)</f>
        <v>6088.78</v>
      </c>
      <c r="Q370" s="17">
        <v>0.18</v>
      </c>
      <c r="R370" s="249">
        <f t="shared" ca="1" si="206"/>
        <v>7184.76</v>
      </c>
      <c r="T370" s="62">
        <f ca="1">IF(Снижение!$E$9,Снижение!X33,IF($P$11=0,I344,E370))/(1+$T$353)</f>
        <v>5940.6604979104222</v>
      </c>
      <c r="AI370" s="60"/>
      <c r="AJ370" s="60"/>
      <c r="AK370" s="60"/>
      <c r="AL370" s="60"/>
    </row>
    <row r="371" spans="1:38" hidden="1" x14ac:dyDescent="0.2">
      <c r="C371" s="56" t="str">
        <f t="shared" si="211"/>
        <v>Прочие затраты КЛ</v>
      </c>
      <c r="D371" s="39"/>
      <c r="E371" s="582">
        <f ca="1">ROUND(I345*G345,2)</f>
        <v>0</v>
      </c>
      <c r="F371" s="583"/>
      <c r="G371" s="582">
        <f t="shared" ca="1" si="217"/>
        <v>0</v>
      </c>
      <c r="H371" s="583">
        <f t="shared" ca="1" si="207"/>
        <v>0</v>
      </c>
      <c r="I371" s="582">
        <f ca="1">SUM(Снижение!G34:W34)</f>
        <v>0</v>
      </c>
      <c r="J371" s="583"/>
      <c r="K371" s="17">
        <v>0.18</v>
      </c>
      <c r="L371" s="1"/>
      <c r="M371" s="1"/>
      <c r="N371" s="62">
        <f t="shared" ca="1" si="205"/>
        <v>0</v>
      </c>
      <c r="O371" s="62"/>
      <c r="P371" s="62">
        <f ca="1">IF(Снижение!$E$9,Снижение!X34,E371)</f>
        <v>0</v>
      </c>
      <c r="Q371" s="17">
        <v>0.18</v>
      </c>
      <c r="R371" s="249">
        <f t="shared" ca="1" si="206"/>
        <v>0</v>
      </c>
      <c r="T371" s="62">
        <f ca="1">IF(Снижение!$E$9,Снижение!X34,IF($P$11=0,I345,E371))/(1+$T$353)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11"/>
        <v>Прочие затраты ПС</v>
      </c>
      <c r="D372" s="39"/>
      <c r="E372" s="582">
        <f ca="1">ROUND(I346*G346,2)</f>
        <v>-0.17</v>
      </c>
      <c r="F372" s="583"/>
      <c r="G372" s="582">
        <f t="shared" ca="1" si="217"/>
        <v>-0.2</v>
      </c>
      <c r="H372" s="583">
        <f t="shared" ca="1" si="207"/>
        <v>0</v>
      </c>
      <c r="I372" s="582">
        <f ca="1">SUM(Снижение!G35:W35)</f>
        <v>-0.27</v>
      </c>
      <c r="J372" s="583"/>
      <c r="K372" s="17">
        <v>0.18</v>
      </c>
      <c r="L372" s="1"/>
      <c r="M372" s="1"/>
      <c r="N372" s="62">
        <f t="shared" ca="1" si="205"/>
        <v>-0.32</v>
      </c>
      <c r="O372" s="62"/>
      <c r="P372" s="62">
        <f ca="1">IF(Снижение!$E$9,Снижение!X35,E372)</f>
        <v>-0.19</v>
      </c>
      <c r="Q372" s="17">
        <v>0.18</v>
      </c>
      <c r="R372" s="249">
        <f t="shared" ca="1" si="206"/>
        <v>-0.22</v>
      </c>
      <c r="T372" s="62">
        <f ca="1">IF(Снижение!$E$9,Снижение!X35,IF($P$11=0,I346,E372))/(1+$T$353)</f>
        <v>-0.18537794017898171</v>
      </c>
      <c r="AI372" s="60"/>
      <c r="AJ372" s="60"/>
      <c r="AK372" s="60"/>
      <c r="AL372" s="60"/>
    </row>
    <row r="373" spans="1:38" x14ac:dyDescent="0.2">
      <c r="C373" s="1" t="str">
        <f t="shared" ref="C373:C375" si="218">C347</f>
        <v>Итого по ВЛ</v>
      </c>
      <c r="D373" s="39"/>
      <c r="E373" s="582">
        <f ca="1">E355+E358+E359+E364+E367+E370</f>
        <v>36466.629999999997</v>
      </c>
      <c r="F373" s="583">
        <f t="shared" ref="F373:J373" si="219">F355+F358+F362+F359+F364+F367+F370</f>
        <v>0</v>
      </c>
      <c r="G373" s="582">
        <f ca="1">G355+G358+G359+G364+G367+G370</f>
        <v>43030.619999999995</v>
      </c>
      <c r="H373" s="583">
        <f t="shared" ca="1" si="219"/>
        <v>0</v>
      </c>
      <c r="I373" s="582">
        <f ca="1">I355+I358+I359+I364+I367+I370</f>
        <v>55466.819999999992</v>
      </c>
      <c r="J373" s="583">
        <f t="shared" si="219"/>
        <v>0</v>
      </c>
      <c r="K373" s="1"/>
      <c r="L373" s="1"/>
      <c r="M373" s="1"/>
      <c r="N373" s="62">
        <f ca="1">N355+N358+N359+N364+N367+N370</f>
        <v>65450.850000000006</v>
      </c>
      <c r="O373" s="62"/>
      <c r="P373" s="62">
        <f ca="1">P355+P358+P359+P364+P367+P370</f>
        <v>38826.770000000004</v>
      </c>
      <c r="Q373" s="27"/>
      <c r="R373" s="249">
        <f ca="1">R355+R358+R359+R364+R367+R370</f>
        <v>45815.58</v>
      </c>
      <c r="T373" s="62">
        <f ca="1">T355+T358+T362+T359+T364+T367+T370</f>
        <v>37882.245507384636</v>
      </c>
      <c r="AI373" s="60"/>
      <c r="AJ373" s="60"/>
      <c r="AK373" s="60"/>
      <c r="AL373" s="60"/>
    </row>
    <row r="374" spans="1:38" hidden="1" x14ac:dyDescent="0.2">
      <c r="C374" s="1" t="str">
        <f t="shared" si="218"/>
        <v>Итого по КЛ</v>
      </c>
      <c r="D374" s="39"/>
      <c r="E374" s="582">
        <f ca="1">E356+E360+E361+E365+E368+E371</f>
        <v>0</v>
      </c>
      <c r="F374" s="583">
        <f t="shared" ref="F374:J374" si="220">F356+F360+F361+F365+F368+F371</f>
        <v>0</v>
      </c>
      <c r="G374" s="582">
        <f t="shared" ca="1" si="220"/>
        <v>0</v>
      </c>
      <c r="H374" s="583">
        <f t="shared" ca="1" si="220"/>
        <v>0</v>
      </c>
      <c r="I374" s="582">
        <f t="shared" ca="1" si="220"/>
        <v>0</v>
      </c>
      <c r="J374" s="583">
        <f t="shared" si="220"/>
        <v>0</v>
      </c>
      <c r="K374" s="1"/>
      <c r="L374" s="1"/>
      <c r="M374" s="1"/>
      <c r="N374" s="62">
        <f ca="1">N356+N360+N361+N365+N368+N371</f>
        <v>0</v>
      </c>
      <c r="O374" s="62"/>
      <c r="P374" s="62">
        <f ca="1">P356+P360+P361+P365+P368+P371</f>
        <v>0</v>
      </c>
      <c r="Q374" s="17"/>
      <c r="R374" s="249">
        <f ca="1">R356+R360+R361+R365+R368+R371</f>
        <v>0</v>
      </c>
      <c r="T374" s="62">
        <f ca="1">T356+T360+T361+T365+T368+T371</f>
        <v>0</v>
      </c>
      <c r="AI374" s="60"/>
      <c r="AJ374" s="60"/>
      <c r="AK374" s="60"/>
      <c r="AL374" s="60"/>
    </row>
    <row r="375" spans="1:38" hidden="1" x14ac:dyDescent="0.2">
      <c r="C375" s="1" t="str">
        <f t="shared" si="218"/>
        <v>Итого по ПС</v>
      </c>
      <c r="D375" s="39"/>
      <c r="E375" s="582">
        <f ca="1">E357+E362+E363+E366+E369+E372</f>
        <v>-0.17</v>
      </c>
      <c r="F375" s="583">
        <f t="shared" ref="F375:J375" si="221">F357+F363+F366+F369+F372</f>
        <v>0</v>
      </c>
      <c r="G375" s="582">
        <f ca="1">G357+G362+G363+G366+G369+G372</f>
        <v>-0.2</v>
      </c>
      <c r="H375" s="583">
        <f t="shared" ca="1" si="221"/>
        <v>0</v>
      </c>
      <c r="I375" s="582">
        <f ca="1">I357+I362+I363+I366+I369+I372</f>
        <v>-0.27</v>
      </c>
      <c r="J375" s="583">
        <f t="shared" si="221"/>
        <v>0</v>
      </c>
      <c r="K375" s="1"/>
      <c r="L375" s="1"/>
      <c r="M375" s="1"/>
      <c r="N375" s="62">
        <f ca="1">N357+N362+N363+N366+N369+N372</f>
        <v>-0.32</v>
      </c>
      <c r="O375" s="62"/>
      <c r="P375" s="62">
        <f ca="1">P357+P362+P363+P366+P369+P372</f>
        <v>-0.19</v>
      </c>
      <c r="Q375" s="17"/>
      <c r="R375" s="249">
        <f ca="1">R357+R362+R363+R366+R369+R372</f>
        <v>-0.22</v>
      </c>
      <c r="T375" s="62">
        <f ca="1">T357+T363+T366+T369+T372</f>
        <v>-0.18537794017898171</v>
      </c>
      <c r="AI375" s="60"/>
      <c r="AJ375" s="60"/>
      <c r="AK375" s="60"/>
      <c r="AL375" s="60"/>
    </row>
    <row r="376" spans="1:38" s="60" customFormat="1" x14ac:dyDescent="0.2">
      <c r="A376" s="126"/>
      <c r="C376" s="182"/>
      <c r="D376" s="182"/>
      <c r="E376" s="361"/>
      <c r="F376" s="361"/>
      <c r="G376" s="361"/>
      <c r="H376" s="361"/>
      <c r="I376" s="361"/>
      <c r="J376" s="361"/>
      <c r="K376" s="182"/>
      <c r="L376" s="182"/>
      <c r="M376" s="182"/>
      <c r="N376" s="127"/>
      <c r="O376" s="127"/>
      <c r="P376" s="127"/>
      <c r="Q376" s="362"/>
      <c r="R376" s="253"/>
      <c r="T376" s="127"/>
      <c r="U376" s="79"/>
      <c r="V376" s="79"/>
      <c r="W376" s="79"/>
      <c r="X376" s="89"/>
      <c r="Y376" s="89"/>
      <c r="Z376" s="89"/>
      <c r="AA376" s="89"/>
      <c r="AB376" s="89"/>
      <c r="AC376" s="137"/>
      <c r="AD376" s="89"/>
    </row>
    <row r="377" spans="1:38" s="60" customFormat="1" x14ac:dyDescent="0.2">
      <c r="A377" s="126"/>
      <c r="C377" s="380" t="s">
        <v>1419</v>
      </c>
      <c r="D377" s="380"/>
      <c r="E377" s="381"/>
      <c r="F377" s="381"/>
      <c r="G377" s="381"/>
      <c r="H377" s="381"/>
      <c r="I377" s="381"/>
      <c r="J377" s="381"/>
      <c r="K377" s="380"/>
      <c r="L377" s="380"/>
      <c r="M377" s="380"/>
      <c r="N377" s="382"/>
      <c r="O377" s="382"/>
      <c r="P377" s="382"/>
      <c r="Q377" s="383"/>
      <c r="R377" s="384"/>
      <c r="T377" s="127"/>
      <c r="U377" s="79"/>
      <c r="V377" s="79"/>
      <c r="W377" s="79"/>
      <c r="X377" s="89"/>
      <c r="Y377" s="89"/>
      <c r="Z377" s="89"/>
      <c r="AA377" s="89"/>
      <c r="AB377" s="89"/>
      <c r="AC377" s="137"/>
      <c r="AD377" s="89"/>
    </row>
    <row r="378" spans="1:38" s="60" customFormat="1" x14ac:dyDescent="0.2">
      <c r="A378" s="126"/>
      <c r="C378" s="380"/>
      <c r="D378" s="380"/>
      <c r="E378" s="381"/>
      <c r="F378" s="381"/>
      <c r="G378" s="381"/>
      <c r="H378" s="381"/>
      <c r="I378" s="381"/>
      <c r="J378" s="381"/>
      <c r="K378" s="380"/>
      <c r="L378" s="380"/>
      <c r="M378" s="380"/>
      <c r="N378" s="382"/>
      <c r="O378" s="382"/>
      <c r="P378" s="382"/>
      <c r="Q378" s="383"/>
      <c r="R378" s="384"/>
      <c r="T378" s="127"/>
      <c r="U378" s="79"/>
      <c r="V378" s="79"/>
      <c r="W378" s="79"/>
      <c r="X378" s="89"/>
      <c r="Y378" s="89"/>
      <c r="Z378" s="89"/>
      <c r="AA378" s="89"/>
      <c r="AB378" s="89"/>
      <c r="AC378" s="137"/>
      <c r="AD378" s="89"/>
    </row>
    <row r="379" spans="1:38" s="60" customFormat="1" x14ac:dyDescent="0.2">
      <c r="A379" s="126"/>
      <c r="C379" s="380" t="s">
        <v>1420</v>
      </c>
      <c r="D379" s="380"/>
      <c r="E379" s="381"/>
      <c r="F379" s="381"/>
      <c r="G379" s="381"/>
      <c r="H379" s="381"/>
      <c r="I379" s="381"/>
      <c r="J379" s="381"/>
      <c r="K379" s="380"/>
      <c r="L379" s="380"/>
      <c r="M379" s="380"/>
      <c r="N379" s="382"/>
      <c r="O379" s="382"/>
      <c r="P379" s="382"/>
      <c r="Q379" s="383"/>
      <c r="R379" s="384"/>
      <c r="T379" s="127"/>
      <c r="U379" s="79"/>
      <c r="V379" s="79"/>
      <c r="W379" s="79"/>
      <c r="X379" s="89"/>
      <c r="Y379" s="89"/>
      <c r="Z379" s="89"/>
      <c r="AA379" s="89"/>
      <c r="AB379" s="89"/>
      <c r="AC379" s="137"/>
      <c r="AD379" s="89"/>
    </row>
    <row r="380" spans="1:38" s="60" customFormat="1" x14ac:dyDescent="0.2">
      <c r="A380" s="126"/>
      <c r="C380" s="380"/>
      <c r="D380" s="380"/>
      <c r="E380" s="381"/>
      <c r="F380" s="381"/>
      <c r="G380" s="381"/>
      <c r="H380" s="381"/>
      <c r="I380" s="381"/>
      <c r="J380" s="381"/>
      <c r="K380" s="380"/>
      <c r="L380" s="380"/>
      <c r="M380" s="380"/>
      <c r="N380" s="382"/>
      <c r="O380" s="382"/>
      <c r="P380" s="382"/>
      <c r="Q380" s="383"/>
      <c r="R380" s="384"/>
      <c r="T380" s="127"/>
      <c r="U380" s="79"/>
      <c r="V380" s="79"/>
      <c r="W380" s="79"/>
      <c r="X380" s="89"/>
      <c r="Y380" s="89"/>
      <c r="Z380" s="89"/>
      <c r="AA380" s="89"/>
      <c r="AB380" s="89"/>
      <c r="AC380" s="137"/>
      <c r="AD380" s="89"/>
    </row>
    <row r="381" spans="1:38" s="60" customFormat="1" x14ac:dyDescent="0.2">
      <c r="A381" s="126"/>
      <c r="C381" s="380" t="s">
        <v>1421</v>
      </c>
      <c r="D381" s="380"/>
      <c r="E381" s="381"/>
      <c r="F381" s="381"/>
      <c r="G381" s="381"/>
      <c r="H381" s="381"/>
      <c r="I381" s="381"/>
      <c r="J381" s="381"/>
      <c r="K381" s="380"/>
      <c r="L381" s="380"/>
      <c r="M381" s="380"/>
      <c r="N381" s="382"/>
      <c r="O381" s="382"/>
      <c r="P381" s="382"/>
      <c r="Q381" s="383"/>
      <c r="R381" s="384"/>
      <c r="T381" s="127"/>
      <c r="U381" s="79"/>
      <c r="V381" s="79"/>
      <c r="W381" s="79"/>
      <c r="X381" s="89"/>
      <c r="Y381" s="89"/>
      <c r="Z381" s="89"/>
      <c r="AA381" s="89"/>
      <c r="AB381" s="89"/>
      <c r="AC381" s="137"/>
      <c r="AD381" s="89"/>
    </row>
    <row r="382" spans="1:38" s="60" customFormat="1" x14ac:dyDescent="0.2">
      <c r="A382" s="126"/>
      <c r="C382" s="380"/>
      <c r="D382" s="380"/>
      <c r="E382" s="381"/>
      <c r="F382" s="381"/>
      <c r="G382" s="381"/>
      <c r="H382" s="381"/>
      <c r="I382" s="381"/>
      <c r="J382" s="381"/>
      <c r="K382" s="380"/>
      <c r="L382" s="380"/>
      <c r="M382" s="380"/>
      <c r="N382" s="382"/>
      <c r="O382" s="382"/>
      <c r="P382" s="382"/>
      <c r="Q382" s="383"/>
      <c r="R382" s="384"/>
      <c r="T382" s="127"/>
      <c r="U382" s="79"/>
      <c r="V382" s="79"/>
      <c r="W382" s="79"/>
      <c r="X382" s="89"/>
      <c r="Y382" s="89"/>
      <c r="Z382" s="89"/>
      <c r="AA382" s="89"/>
      <c r="AB382" s="89"/>
      <c r="AC382" s="137"/>
      <c r="AD382" s="89"/>
    </row>
    <row r="383" spans="1:38" s="60" customFormat="1" x14ac:dyDescent="0.2">
      <c r="A383" s="126"/>
      <c r="C383" s="380"/>
      <c r="D383" s="380"/>
      <c r="E383" s="381"/>
      <c r="F383" s="381"/>
      <c r="G383" s="381"/>
      <c r="H383" s="381"/>
      <c r="I383" s="381"/>
      <c r="J383" s="381"/>
      <c r="K383" s="380"/>
      <c r="L383" s="380"/>
      <c r="M383" s="380"/>
      <c r="N383" s="382"/>
      <c r="O383" s="382"/>
      <c r="P383" s="382"/>
      <c r="Q383" s="383"/>
      <c r="R383" s="384"/>
      <c r="T383" s="127"/>
      <c r="U383" s="79"/>
      <c r="V383" s="79"/>
      <c r="W383" s="79"/>
      <c r="X383" s="89"/>
      <c r="Y383" s="89"/>
      <c r="Z383" s="89"/>
      <c r="AA383" s="89"/>
      <c r="AB383" s="89"/>
      <c r="AC383" s="137"/>
      <c r="AD383" s="89"/>
    </row>
    <row r="384" spans="1:38" s="60" customFormat="1" x14ac:dyDescent="0.2">
      <c r="A384" s="126"/>
      <c r="C384" s="517">
        <v>43133</v>
      </c>
      <c r="D384" s="380"/>
      <c r="E384" s="381"/>
      <c r="F384" s="381"/>
      <c r="G384" s="381"/>
      <c r="H384" s="381"/>
      <c r="I384" s="381"/>
      <c r="J384" s="381"/>
      <c r="K384" s="380"/>
      <c r="L384" s="380"/>
      <c r="M384" s="380"/>
      <c r="N384" s="382"/>
      <c r="O384" s="382"/>
      <c r="P384" s="382"/>
      <c r="Q384" s="383"/>
      <c r="R384" s="384"/>
      <c r="T384" s="127"/>
      <c r="U384" s="79"/>
      <c r="V384" s="79"/>
      <c r="W384" s="79"/>
      <c r="X384" s="89"/>
      <c r="Y384" s="89"/>
      <c r="Z384" s="89"/>
      <c r="AA384" s="89"/>
      <c r="AB384" s="89"/>
      <c r="AC384" s="137"/>
      <c r="AD384" s="89"/>
    </row>
    <row r="385" spans="1:38" s="60" customFormat="1" x14ac:dyDescent="0.2">
      <c r="A385" s="126"/>
      <c r="C385" s="380"/>
      <c r="D385" s="380"/>
      <c r="E385" s="381"/>
      <c r="F385" s="381"/>
      <c r="G385" s="381"/>
      <c r="H385" s="381"/>
      <c r="I385" s="381"/>
      <c r="J385" s="381"/>
      <c r="K385" s="380"/>
      <c r="L385" s="380"/>
      <c r="M385" s="380"/>
      <c r="N385" s="382"/>
      <c r="O385" s="382"/>
      <c r="P385" s="382"/>
      <c r="Q385" s="383"/>
      <c r="R385" s="384"/>
      <c r="T385" s="127"/>
      <c r="U385" s="79"/>
      <c r="V385" s="79"/>
      <c r="W385" s="79"/>
      <c r="X385" s="89"/>
      <c r="Y385" s="89"/>
      <c r="Z385" s="89"/>
      <c r="AA385" s="89"/>
      <c r="AB385" s="89"/>
      <c r="AC385" s="137"/>
      <c r="AD385" s="89"/>
    </row>
    <row r="386" spans="1:38" s="60" customFormat="1" x14ac:dyDescent="0.2">
      <c r="A386" s="126"/>
      <c r="C386" s="182"/>
      <c r="D386" s="182"/>
      <c r="E386" s="361"/>
      <c r="F386" s="361"/>
      <c r="G386" s="361"/>
      <c r="H386" s="361"/>
      <c r="I386" s="361"/>
      <c r="J386" s="361"/>
      <c r="K386" s="182"/>
      <c r="L386" s="182"/>
      <c r="M386" s="182"/>
      <c r="N386" s="127"/>
      <c r="O386" s="127"/>
      <c r="P386" s="127"/>
      <c r="Q386" s="362"/>
      <c r="R386" s="253"/>
      <c r="T386" s="127"/>
      <c r="U386" s="79"/>
      <c r="V386" s="79"/>
      <c r="W386" s="79"/>
      <c r="X386" s="89"/>
      <c r="Y386" s="89"/>
      <c r="Z386" s="89"/>
      <c r="AA386" s="89"/>
      <c r="AB386" s="89"/>
      <c r="AC386" s="137"/>
      <c r="AD386" s="89"/>
    </row>
    <row r="387" spans="1:38" s="60" customFormat="1" ht="15" x14ac:dyDescent="0.2">
      <c r="A387" s="126"/>
      <c r="B387" s="296"/>
      <c r="C387" s="385" t="str">
        <f>IF('Расчет стоимости'!$P$13&lt;35,"                   ","СОГЛАСОВАНО:")</f>
        <v xml:space="preserve">                   </v>
      </c>
      <c r="D387" s="296"/>
      <c r="E387" s="385"/>
      <c r="F387" s="386"/>
      <c r="G387" s="386"/>
      <c r="H387" s="386"/>
      <c r="I387" s="386"/>
      <c r="J387" s="386"/>
      <c r="K387" s="297"/>
      <c r="L387" s="297"/>
      <c r="M387" s="297"/>
      <c r="N387" s="387"/>
      <c r="O387" s="387"/>
      <c r="P387" s="387"/>
      <c r="Q387" s="388"/>
      <c r="R387" s="389"/>
      <c r="T387" s="127"/>
      <c r="U387" s="79"/>
      <c r="V387" s="79"/>
      <c r="W387" s="79"/>
      <c r="X387" s="89"/>
      <c r="Y387" s="89"/>
      <c r="Z387" s="89"/>
      <c r="AA387" s="89"/>
      <c r="AB387" s="89"/>
      <c r="AC387" s="137"/>
      <c r="AD387" s="89"/>
    </row>
    <row r="388" spans="1:38" s="60" customFormat="1" ht="12.75" customHeight="1" x14ac:dyDescent="0.2">
      <c r="A388" s="126"/>
      <c r="B388" s="296"/>
      <c r="C388" s="390" t="str">
        <f>IF('Расчет стоимости'!$P$13&lt;35,"                   ","Начальник департамента капитального строительства ''ПАО МРСК Северо-Запада''")</f>
        <v xml:space="preserve">                   </v>
      </c>
      <c r="D388" s="391"/>
      <c r="E388" s="391"/>
      <c r="F388" s="386"/>
      <c r="G388" s="390"/>
      <c r="H388" s="386"/>
      <c r="I388" s="296"/>
      <c r="J388" s="386" t="str">
        <f>IF('Расчет стоимости'!$P$13&lt;35,"      ","___________ /Э.Б. Михневич/")</f>
        <v xml:space="preserve">      </v>
      </c>
      <c r="K388" s="297"/>
      <c r="L388" s="297"/>
      <c r="M388" s="297"/>
      <c r="N388" s="387"/>
      <c r="O388" s="387"/>
      <c r="P388" s="387"/>
      <c r="Q388" s="388"/>
      <c r="R388" s="389"/>
      <c r="T388" s="127"/>
      <c r="U388" s="79"/>
      <c r="V388" s="79"/>
      <c r="W388" s="79"/>
      <c r="X388" s="89"/>
      <c r="Y388" s="89"/>
      <c r="Z388" s="89"/>
      <c r="AA388" s="89"/>
      <c r="AB388" s="89"/>
      <c r="AC388" s="137"/>
      <c r="AD388" s="89"/>
    </row>
    <row r="389" spans="1:38" s="60" customFormat="1" ht="12.75" customHeight="1" x14ac:dyDescent="0.2">
      <c r="A389" s="126"/>
      <c r="B389" s="296"/>
      <c r="C389" s="390"/>
      <c r="D389" s="391"/>
      <c r="E389" s="391"/>
      <c r="F389" s="386"/>
      <c r="G389" s="390"/>
      <c r="H389" s="386"/>
      <c r="I389" s="296"/>
      <c r="J389" s="386"/>
      <c r="K389" s="297"/>
      <c r="L389" s="297"/>
      <c r="M389" s="297"/>
      <c r="N389" s="387"/>
      <c r="O389" s="387"/>
      <c r="P389" s="387"/>
      <c r="Q389" s="388"/>
      <c r="R389" s="389"/>
      <c r="T389" s="127"/>
      <c r="U389" s="79"/>
      <c r="V389" s="79"/>
      <c r="W389" s="79"/>
      <c r="X389" s="89"/>
      <c r="Y389" s="89"/>
      <c r="Z389" s="89"/>
      <c r="AA389" s="89"/>
      <c r="AB389" s="89"/>
      <c r="AC389" s="137"/>
      <c r="AD389" s="89"/>
    </row>
    <row r="390" spans="1:38" s="60" customFormat="1" ht="12.75" customHeight="1" x14ac:dyDescent="0.2">
      <c r="A390" s="126"/>
      <c r="B390" s="296"/>
      <c r="C390" s="390" t="str">
        <f>IF('Расчет стоимости'!$P$13&lt;35,"              ","Начальник отдела проектов и сметного нормирования")</f>
        <v xml:space="preserve">              </v>
      </c>
      <c r="D390" s="391"/>
      <c r="E390" s="391"/>
      <c r="F390" s="386"/>
      <c r="G390" s="390"/>
      <c r="H390" s="386"/>
      <c r="I390" s="296"/>
      <c r="J390" s="386" t="str">
        <f>IF('Расчет стоимости'!$P$13&lt;35,"      ","___________ /Т.В. Судакова/")</f>
        <v xml:space="preserve">      </v>
      </c>
      <c r="K390" s="297"/>
      <c r="L390" s="297"/>
      <c r="M390" s="297"/>
      <c r="N390" s="387"/>
      <c r="O390" s="387"/>
      <c r="P390" s="387"/>
      <c r="Q390" s="388"/>
      <c r="R390" s="389"/>
      <c r="T390" s="127"/>
      <c r="U390" s="79"/>
      <c r="V390" s="79"/>
      <c r="W390" s="79"/>
      <c r="X390" s="89"/>
      <c r="Y390" s="89"/>
      <c r="Z390" s="89"/>
      <c r="AA390" s="89"/>
      <c r="AB390" s="89"/>
      <c r="AC390" s="137"/>
      <c r="AD390" s="89"/>
    </row>
    <row r="391" spans="1:38" s="60" customFormat="1" ht="15" x14ac:dyDescent="0.2">
      <c r="A391" s="126"/>
      <c r="B391" s="296"/>
      <c r="C391" s="392"/>
      <c r="D391" s="579"/>
      <c r="E391" s="579"/>
      <c r="F391" s="386"/>
      <c r="G391" s="386"/>
      <c r="H391" s="386"/>
      <c r="I391" s="577"/>
      <c r="J391" s="577"/>
      <c r="K391" s="297"/>
      <c r="L391" s="297"/>
      <c r="M391" s="297"/>
      <c r="N391" s="387"/>
      <c r="O391" s="387"/>
      <c r="P391" s="387"/>
      <c r="Q391" s="388"/>
      <c r="R391" s="389"/>
      <c r="T391" s="127"/>
      <c r="U391" s="79"/>
      <c r="V391" s="79"/>
      <c r="W391" s="79"/>
      <c r="X391" s="89"/>
      <c r="Y391" s="89"/>
      <c r="Z391" s="89"/>
      <c r="AA391" s="89"/>
      <c r="AB391" s="89"/>
      <c r="AC391" s="137"/>
      <c r="AD391" s="89"/>
    </row>
    <row r="392" spans="1:38" s="60" customFormat="1" x14ac:dyDescent="0.2">
      <c r="A392" s="126"/>
      <c r="C392" s="360"/>
      <c r="F392" s="361"/>
      <c r="G392" s="361"/>
      <c r="H392" s="361"/>
      <c r="I392" s="361"/>
      <c r="J392" s="361"/>
      <c r="K392" s="182"/>
      <c r="L392" s="182"/>
      <c r="M392" s="182"/>
      <c r="N392" s="127"/>
      <c r="O392" s="127"/>
      <c r="P392" s="127"/>
      <c r="Q392" s="362"/>
      <c r="R392" s="253"/>
      <c r="T392" s="127"/>
      <c r="U392" s="79"/>
      <c r="V392" s="79"/>
      <c r="W392" s="79"/>
      <c r="X392" s="89"/>
      <c r="Y392" s="89"/>
      <c r="Z392" s="89"/>
      <c r="AA392" s="89"/>
      <c r="AB392" s="89"/>
      <c r="AC392" s="137"/>
      <c r="AD392" s="89"/>
    </row>
    <row r="393" spans="1:38" x14ac:dyDescent="0.2">
      <c r="AI393" s="60"/>
      <c r="AJ393" s="60"/>
      <c r="AK393" s="60"/>
      <c r="AL393" s="60"/>
    </row>
    <row r="394" spans="1:38" ht="14.25" x14ac:dyDescent="0.2">
      <c r="D394" s="29"/>
      <c r="AI394" s="60"/>
      <c r="AJ394" s="60"/>
      <c r="AK394" s="60"/>
      <c r="AL394" s="60"/>
    </row>
    <row r="395" spans="1:38" ht="12.75" customHeight="1" x14ac:dyDescent="0.2">
      <c r="C395" s="29" t="s">
        <v>1066</v>
      </c>
      <c r="AI395" s="60"/>
      <c r="AJ395" s="60"/>
      <c r="AK395" s="60"/>
      <c r="AL395" s="60"/>
    </row>
    <row r="396" spans="1:38" ht="25.5" customHeight="1" x14ac:dyDescent="0.2">
      <c r="C396" s="589" t="s">
        <v>1067</v>
      </c>
      <c r="D396" s="598"/>
      <c r="E396" s="591" t="s">
        <v>1068</v>
      </c>
      <c r="F396" s="591"/>
      <c r="G396" s="592" t="s">
        <v>1073</v>
      </c>
      <c r="H396" s="593"/>
      <c r="I396" s="593"/>
      <c r="J396" s="594"/>
      <c r="K396" s="591" t="s">
        <v>1069</v>
      </c>
      <c r="L396" s="591"/>
      <c r="M396" s="591"/>
      <c r="N396" s="591"/>
      <c r="O396" s="5"/>
      <c r="P396" s="587" t="s">
        <v>1257</v>
      </c>
      <c r="Q396" s="587" t="s">
        <v>1279</v>
      </c>
      <c r="R396" s="586" t="s">
        <v>1259</v>
      </c>
      <c r="S396" s="117" t="s">
        <v>1077</v>
      </c>
      <c r="T396" s="106" t="s">
        <v>1078</v>
      </c>
      <c r="U396" s="107" t="s">
        <v>1079</v>
      </c>
      <c r="V396" s="107" t="s">
        <v>1080</v>
      </c>
      <c r="W396" s="107" t="s">
        <v>474</v>
      </c>
      <c r="AI396" s="60"/>
      <c r="AJ396" s="60"/>
      <c r="AK396" s="60"/>
      <c r="AL396" s="60"/>
    </row>
    <row r="397" spans="1:38" ht="25.5" customHeight="1" x14ac:dyDescent="0.2">
      <c r="B397" s="60"/>
      <c r="C397" s="589"/>
      <c r="D397" s="599"/>
      <c r="E397" s="591"/>
      <c r="F397" s="591"/>
      <c r="G397" s="595"/>
      <c r="H397" s="596"/>
      <c r="I397" s="596"/>
      <c r="J397" s="597"/>
      <c r="K397" s="113" t="s">
        <v>1070</v>
      </c>
      <c r="L397" s="113"/>
      <c r="M397" s="113" t="s">
        <v>1075</v>
      </c>
      <c r="N397" s="113" t="s">
        <v>1071</v>
      </c>
      <c r="O397" s="1"/>
      <c r="P397" s="588"/>
      <c r="Q397" s="588"/>
      <c r="R397" s="586"/>
      <c r="S397" s="30" t="s">
        <v>1076</v>
      </c>
      <c r="T397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4.8553763227775351</v>
      </c>
      <c r="U397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</v>
      </c>
      <c r="V397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4.4867911236350828</v>
      </c>
      <c r="W397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9.5709974062721059</v>
      </c>
      <c r="AI397" s="60"/>
      <c r="AJ397" s="60"/>
      <c r="AK397" s="60"/>
      <c r="AL397" s="60"/>
    </row>
    <row r="398" spans="1:38" x14ac:dyDescent="0.2">
      <c r="B398" s="60"/>
      <c r="C398" s="82" t="str">
        <f>IF($C$12="","Строительство ВЛ ","Реконструкция ВЛ ")&amp;"0,4 кВ"</f>
        <v>Строительство ВЛ 0,4 кВ</v>
      </c>
      <c r="D398" s="82"/>
      <c r="E398" s="589" t="s">
        <v>1072</v>
      </c>
      <c r="F398" s="589"/>
      <c r="G398" s="590">
        <f ca="1">SUM(S398:W398)</f>
        <v>0</v>
      </c>
      <c r="H398" s="590"/>
      <c r="I398" s="590"/>
      <c r="J398" s="590"/>
      <c r="K398" s="82"/>
      <c r="L398" s="82"/>
      <c r="M398" s="122">
        <f ca="1">IF(AND(Снижение!$D$21&gt;0,Снижение!$X$21&gt;0),Снижение!$X$21/Снижение!$D$21,1)</f>
        <v>5.3511202765682784</v>
      </c>
      <c r="N398" s="123"/>
      <c r="O398" s="82"/>
      <c r="P398" s="105" t="str">
        <f>IF(N398&gt;0,ROUND(G398/N398,3),"")</f>
        <v/>
      </c>
      <c r="Q398" s="62" t="e">
        <f t="shared" ref="Q398:Q407" si="222">IF(AND(ISNUMBER(P398),R398&gt;0),ROUND(P398/R398%-100,3),"")</f>
        <v>#N/A</v>
      </c>
      <c r="R398" s="123" t="e">
        <f>INDEX(Удельники!$E$37:$E$44,MATCH(Снижение!$E$9,Удельники!$A$37:$A$44,0))</f>
        <v>#N/A</v>
      </c>
      <c r="S398" s="2">
        <f ca="1">S115*M398</f>
        <v>0</v>
      </c>
      <c r="T398" s="2">
        <f t="shared" ref="T398:V401" ca="1" si="223">T115*T$397</f>
        <v>0</v>
      </c>
      <c r="U398" s="79">
        <f t="shared" ca="1" si="223"/>
        <v>0</v>
      </c>
      <c r="V398" s="79">
        <f t="shared" ca="1" si="223"/>
        <v>0</v>
      </c>
      <c r="W398" s="79">
        <f ca="1">(W115+X398)*W$397</f>
        <v>0</v>
      </c>
      <c r="X398" s="89">
        <f ca="1">SUMIF($M$20:$M$21,"&lt;1",$R$20:$R$21)*(1+$S$109)</f>
        <v>0</v>
      </c>
      <c r="AI398" s="60"/>
      <c r="AJ398" s="60"/>
      <c r="AK398" s="60"/>
      <c r="AL398" s="60"/>
    </row>
    <row r="399" spans="1:38" x14ac:dyDescent="0.2">
      <c r="B399" s="60"/>
      <c r="C399" s="82" t="str">
        <f>IF($C$12="","Строительство ВЛ ","Реконструкция ВЛ ")&amp;"1-20 кВ и реклоузеров"</f>
        <v>Строительство ВЛ 1-20 кВ и реклоузеров</v>
      </c>
      <c r="D399" s="82"/>
      <c r="E399" s="589" t="s">
        <v>1072</v>
      </c>
      <c r="F399" s="589"/>
      <c r="G399" s="590">
        <f t="shared" ref="G399:G407" ca="1" si="224">SUM(S399:W399)</f>
        <v>38442.323002893041</v>
      </c>
      <c r="H399" s="590"/>
      <c r="I399" s="590"/>
      <c r="J399" s="590"/>
      <c r="K399" s="82"/>
      <c r="L399" s="82"/>
      <c r="M399" s="122">
        <f ca="1">IF(AND(Снижение!$D$21&gt;0,Снижение!$X$21&gt;0),Снижение!$X$21/Снижение!$D$21,1)</f>
        <v>5.3511202765682784</v>
      </c>
      <c r="N399" s="123"/>
      <c r="O399" s="82"/>
      <c r="P399" s="105" t="str">
        <f t="shared" ref="P399:P405" si="225">IF(N399&gt;0,ROUND(G399/N399,3),"")</f>
        <v/>
      </c>
      <c r="Q399" s="62" t="e">
        <f t="shared" si="222"/>
        <v>#N/A</v>
      </c>
      <c r="R399" s="123" t="e">
        <f>INDEX(Удельники!$D$37:$D$44,MATCH(Снижение!$E$9,Удельники!$A$37:$A$44,0))</f>
        <v>#N/A</v>
      </c>
      <c r="S399" s="2">
        <f ca="1">S116*M399</f>
        <v>29056.904168982346</v>
      </c>
      <c r="T399" s="2">
        <f t="shared" ca="1" si="223"/>
        <v>1212.9215591930561</v>
      </c>
      <c r="U399" s="79">
        <f t="shared" ca="1" si="223"/>
        <v>0</v>
      </c>
      <c r="V399" s="79">
        <f t="shared" ca="1" si="223"/>
        <v>2144.0131384290244</v>
      </c>
      <c r="W399" s="79">
        <f ca="1">(W116+X399)*W$397</f>
        <v>6028.4841362886118</v>
      </c>
      <c r="X399" s="89">
        <f ca="1">SUMIF($M$20:$M$21,"&lt;=10",$R$20:$R$21)*(1+$S$109)-X398</f>
        <v>0</v>
      </c>
      <c r="AI399" s="60"/>
      <c r="AJ399" s="60"/>
      <c r="AK399" s="60"/>
      <c r="AL399" s="60"/>
    </row>
    <row r="400" spans="1:38" x14ac:dyDescent="0.2">
      <c r="B400" s="60"/>
      <c r="C400" s="82" t="str">
        <f>IF($C$12="","Строительство ВЛ ","Реконструкция ВЛ ")&amp;"35 кВ"</f>
        <v>Строительство ВЛ 35 кВ</v>
      </c>
      <c r="D400" s="82"/>
      <c r="E400" s="589" t="s">
        <v>1072</v>
      </c>
      <c r="F400" s="589"/>
      <c r="G400" s="590">
        <f t="shared" ca="1" si="224"/>
        <v>0</v>
      </c>
      <c r="H400" s="590"/>
      <c r="I400" s="590"/>
      <c r="J400" s="590"/>
      <c r="K400" s="82"/>
      <c r="L400" s="82"/>
      <c r="M400" s="122">
        <f ca="1">IF(AND(Снижение!$D$22&gt;0,Снижение!$X$22&gt;0),Снижение!$X$22/Снижение!$D$22,1)</f>
        <v>1</v>
      </c>
      <c r="N400" s="123"/>
      <c r="O400" s="82"/>
      <c r="P400" s="105" t="str">
        <f t="shared" si="225"/>
        <v/>
      </c>
      <c r="Q400" s="62" t="e">
        <f t="shared" si="222"/>
        <v>#N/A</v>
      </c>
      <c r="R400" s="123" t="e">
        <f>INDEX(Удельники!$C$37:$C$44,MATCH(Снижение!$E$9,Удельники!$A$37:$A$44,0))</f>
        <v>#N/A</v>
      </c>
      <c r="S400" s="2">
        <f ca="1">S117*M400</f>
        <v>0</v>
      </c>
      <c r="T400" s="2">
        <f t="shared" ca="1" si="223"/>
        <v>0</v>
      </c>
      <c r="U400" s="79">
        <f t="shared" ca="1" si="223"/>
        <v>0</v>
      </c>
      <c r="V400" s="79">
        <f t="shared" ca="1" si="223"/>
        <v>0</v>
      </c>
      <c r="W400" s="79">
        <f ca="1">(W117+X400)*W$397</f>
        <v>0</v>
      </c>
      <c r="X400" s="89">
        <f ca="1">SUMIF($M$20:$M$21,"&lt;=35",$R$20:$R$21)*(1+$S$109)-X398-X399</f>
        <v>0</v>
      </c>
      <c r="AI400" s="60"/>
      <c r="AJ400" s="60"/>
      <c r="AK400" s="60"/>
      <c r="AL400" s="60"/>
    </row>
    <row r="401" spans="1:24" x14ac:dyDescent="0.2">
      <c r="B401" s="60"/>
      <c r="C401" s="82" t="str">
        <f>IF($C$12="","Строительство ВЛ ","Реконструкция ВЛ ")&amp;"110-220 кВ"</f>
        <v>Строительство ВЛ 110-220 кВ</v>
      </c>
      <c r="D401" s="82"/>
      <c r="E401" s="589" t="s">
        <v>1072</v>
      </c>
      <c r="F401" s="589"/>
      <c r="G401" s="590">
        <f t="shared" ca="1" si="224"/>
        <v>0</v>
      </c>
      <c r="H401" s="590"/>
      <c r="I401" s="590"/>
      <c r="J401" s="590"/>
      <c r="K401" s="82"/>
      <c r="L401" s="82"/>
      <c r="M401" s="122">
        <f ca="1">IF(AND(Снижение!$D$22&gt;0,Снижение!$X$22&gt;0),Снижение!$X$22/Снижение!$D$22,1)</f>
        <v>1</v>
      </c>
      <c r="N401" s="123"/>
      <c r="O401" s="82"/>
      <c r="P401" s="105" t="str">
        <f t="shared" si="225"/>
        <v/>
      </c>
      <c r="Q401" s="62" t="e">
        <f t="shared" si="222"/>
        <v>#N/A</v>
      </c>
      <c r="R401" s="123" t="e">
        <f>INDEX(Удельники!$B$37:$B$44,MATCH(Снижение!$E$9,Удельники!$A$37:$A$44,0))</f>
        <v>#N/A</v>
      </c>
      <c r="S401" s="2">
        <f ca="1">S118*M401</f>
        <v>0</v>
      </c>
      <c r="T401" s="2">
        <f t="shared" ca="1" si="223"/>
        <v>0</v>
      </c>
      <c r="U401" s="79">
        <f t="shared" ca="1" si="223"/>
        <v>0</v>
      </c>
      <c r="V401" s="79">
        <f t="shared" ca="1" si="223"/>
        <v>0</v>
      </c>
      <c r="W401" s="79">
        <f ca="1">(W118+X401)*W$397</f>
        <v>0</v>
      </c>
      <c r="X401" s="89">
        <f ca="1">SUM($R$20:$R$21)*(1+$S$109)-X398-X399-X400</f>
        <v>0</v>
      </c>
    </row>
    <row r="402" spans="1:24" x14ac:dyDescent="0.2">
      <c r="B402" s="60"/>
      <c r="C402" s="82" t="str">
        <f>IF($C$12="","Строительство КЛ ","Реконструкция КЛ ")&amp;"до 1 кВ"</f>
        <v>Строительство КЛ до 1 кВ</v>
      </c>
      <c r="D402" s="82"/>
      <c r="E402" s="589" t="s">
        <v>1072</v>
      </c>
      <c r="F402" s="589"/>
      <c r="G402" s="590">
        <f t="shared" ca="1" si="224"/>
        <v>0</v>
      </c>
      <c r="H402" s="590"/>
      <c r="I402" s="590"/>
      <c r="J402" s="590"/>
      <c r="K402" s="82"/>
      <c r="L402" s="82"/>
      <c r="M402" s="122">
        <f ca="1">IF(AND(Снижение!$D$24&gt;0,Снижение!$X$24&gt;0),Снижение!$X$24/Снижение!$D$24,1)</f>
        <v>1</v>
      </c>
      <c r="N402" s="123"/>
      <c r="O402" s="82"/>
      <c r="P402" s="105" t="str">
        <f t="shared" si="225"/>
        <v/>
      </c>
      <c r="Q402" s="62" t="e">
        <f t="shared" si="222"/>
        <v>#N/A</v>
      </c>
      <c r="R402" s="123" t="e">
        <f>INDEX(Удельники!$I$37:$I$44,MATCH(Снижение!$E$9,Удельники!$A$37:$A$44,0))</f>
        <v>#N/A</v>
      </c>
      <c r="S402" s="2">
        <f ca="1">S192*M402</f>
        <v>0</v>
      </c>
      <c r="T402" s="2">
        <f t="shared" ref="T402:V405" ca="1" si="226">T192*T$397</f>
        <v>0</v>
      </c>
      <c r="U402" s="79">
        <f t="shared" ca="1" si="226"/>
        <v>0</v>
      </c>
      <c r="V402" s="79">
        <f t="shared" ca="1" si="226"/>
        <v>0</v>
      </c>
      <c r="W402" s="79">
        <f ca="1">(W192+X402)*W$397</f>
        <v>0</v>
      </c>
      <c r="X402" s="89">
        <f ca="1">SUMIF($M$135:$M$136,"&lt;1",$R$135:$R$136)*(1+$S$187)</f>
        <v>0</v>
      </c>
    </row>
    <row r="403" spans="1:24" x14ac:dyDescent="0.2">
      <c r="B403" s="60"/>
      <c r="C403" s="82" t="str">
        <f>IF($C$12="","Строительство КЛ ","Реконструкция КЛ ")&amp;"3-10 кВ"</f>
        <v>Строительство КЛ 3-10 кВ</v>
      </c>
      <c r="D403" s="82"/>
      <c r="E403" s="589" t="s">
        <v>1072</v>
      </c>
      <c r="F403" s="589"/>
      <c r="G403" s="590">
        <f t="shared" ca="1" si="224"/>
        <v>0</v>
      </c>
      <c r="H403" s="590"/>
      <c r="I403" s="590"/>
      <c r="J403" s="590"/>
      <c r="K403" s="82"/>
      <c r="L403" s="82"/>
      <c r="M403" s="122">
        <f ca="1">IF(AND(Снижение!$D$24&gt;0,Снижение!$X$24&gt;0),Снижение!$X$24/Снижение!$D$24,1)</f>
        <v>1</v>
      </c>
      <c r="N403" s="123"/>
      <c r="O403" s="82"/>
      <c r="P403" s="105" t="str">
        <f t="shared" si="225"/>
        <v/>
      </c>
      <c r="Q403" s="62" t="e">
        <f t="shared" si="222"/>
        <v>#N/A</v>
      </c>
      <c r="R403" s="123" t="e">
        <f>INDEX(Удельники!$H$37:$H$44,MATCH(Снижение!$E$9,Удельники!$A$37:$A$44,0))</f>
        <v>#N/A</v>
      </c>
      <c r="S403" s="2">
        <f ca="1">S193*M403</f>
        <v>0</v>
      </c>
      <c r="T403" s="2">
        <f t="shared" ca="1" si="226"/>
        <v>0</v>
      </c>
      <c r="U403" s="79">
        <f t="shared" ca="1" si="226"/>
        <v>0</v>
      </c>
      <c r="V403" s="79">
        <f t="shared" ca="1" si="226"/>
        <v>0</v>
      </c>
      <c r="W403" s="79">
        <f ca="1">(W193+X403)*W$397</f>
        <v>0</v>
      </c>
      <c r="X403" s="89">
        <f ca="1">SUMIF($M$135:$M$136,"&lt;=10",$R$135:$R$136)*(1+$S$187)-X402</f>
        <v>0</v>
      </c>
    </row>
    <row r="404" spans="1:24" x14ac:dyDescent="0.2">
      <c r="B404" s="60"/>
      <c r="C404" s="82" t="str">
        <f>IF($C$12="","Строительство КЛ ","Реконструкция КЛ ")&amp;"20-35 кВ"</f>
        <v>Строительство КЛ 20-35 кВ</v>
      </c>
      <c r="D404" s="82"/>
      <c r="E404" s="589" t="s">
        <v>1072</v>
      </c>
      <c r="F404" s="589"/>
      <c r="G404" s="590">
        <f t="shared" ca="1" si="224"/>
        <v>0</v>
      </c>
      <c r="H404" s="590"/>
      <c r="I404" s="590"/>
      <c r="J404" s="590"/>
      <c r="K404" s="82"/>
      <c r="L404" s="82"/>
      <c r="M404" s="122">
        <f ca="1">IF(AND(Снижение!$D$25&gt;0,Снижение!$X$25&gt;0),Снижение!$X$25/Снижение!$D$25,1)</f>
        <v>1</v>
      </c>
      <c r="N404" s="123"/>
      <c r="O404" s="82"/>
      <c r="P404" s="105" t="str">
        <f t="shared" si="225"/>
        <v/>
      </c>
      <c r="Q404" s="62" t="e">
        <f t="shared" si="222"/>
        <v>#N/A</v>
      </c>
      <c r="R404" s="123" t="e">
        <f>INDEX(Удельники!$G$37:$G$44,MATCH(Снижение!$E$9,Удельники!$A$37:$A$44,0))</f>
        <v>#N/A</v>
      </c>
      <c r="S404" s="2">
        <f ca="1">S194*M404</f>
        <v>0</v>
      </c>
      <c r="T404" s="2">
        <f t="shared" ca="1" si="226"/>
        <v>0</v>
      </c>
      <c r="U404" s="79">
        <f t="shared" ca="1" si="226"/>
        <v>0</v>
      </c>
      <c r="V404" s="79">
        <f t="shared" ca="1" si="226"/>
        <v>0</v>
      </c>
      <c r="W404" s="79">
        <f ca="1">(W194+X404)*W$397</f>
        <v>0</v>
      </c>
      <c r="X404" s="89">
        <f ca="1">SUMIF($M$135:$M$136,"&lt;=35",$R$135:$R$136)*(1+$S$187)-X402-X403</f>
        <v>0</v>
      </c>
    </row>
    <row r="405" spans="1:24" x14ac:dyDescent="0.2">
      <c r="B405" s="60"/>
      <c r="C405" s="82" t="str">
        <f>IF($C$12="","Строительство КЛ ","Реконструкция КЛ ")&amp;"110-220 кВ"</f>
        <v>Строительство КЛ 110-220 кВ</v>
      </c>
      <c r="D405" s="82"/>
      <c r="E405" s="589" t="s">
        <v>1072</v>
      </c>
      <c r="F405" s="589"/>
      <c r="G405" s="590">
        <f t="shared" ca="1" si="224"/>
        <v>0</v>
      </c>
      <c r="H405" s="590"/>
      <c r="I405" s="590"/>
      <c r="J405" s="590"/>
      <c r="K405" s="82"/>
      <c r="L405" s="82"/>
      <c r="M405" s="122">
        <f ca="1">IF(AND(Снижение!$D$25&gt;0,Снижение!$X$25&gt;0),Снижение!$X$25/Снижение!$D$25,1)</f>
        <v>1</v>
      </c>
      <c r="N405" s="123"/>
      <c r="O405" s="82"/>
      <c r="P405" s="105" t="str">
        <f t="shared" si="225"/>
        <v/>
      </c>
      <c r="Q405" s="62" t="e">
        <f t="shared" si="222"/>
        <v>#N/A</v>
      </c>
      <c r="R405" s="123" t="e">
        <f>INDEX(Удельники!$F$37:$F$44,MATCH(Снижение!$E$9,Удельники!$A$37:$A$44,0))</f>
        <v>#N/A</v>
      </c>
      <c r="S405" s="2">
        <f ca="1">S195*M405</f>
        <v>0</v>
      </c>
      <c r="T405" s="2">
        <f t="shared" ca="1" si="226"/>
        <v>0</v>
      </c>
      <c r="U405" s="79">
        <f t="shared" ca="1" si="226"/>
        <v>0</v>
      </c>
      <c r="V405" s="79">
        <f t="shared" ca="1" si="226"/>
        <v>0</v>
      </c>
      <c r="W405" s="79">
        <f ca="1">(W195+X405)*W$397</f>
        <v>0</v>
      </c>
      <c r="X405" s="89">
        <f ca="1">SUM($R$135:$R$136)*(1+$S$187)-X402-X403-X404</f>
        <v>0</v>
      </c>
    </row>
    <row r="406" spans="1:24" x14ac:dyDescent="0.2">
      <c r="A406" s="126"/>
      <c r="B406" s="60"/>
      <c r="C406" s="82" t="s">
        <v>1353</v>
      </c>
      <c r="D406" s="82"/>
      <c r="E406" s="589" t="s">
        <v>1074</v>
      </c>
      <c r="F406" s="589"/>
      <c r="G406" s="590">
        <f t="shared" ca="1" si="224"/>
        <v>-0.19141994813832519</v>
      </c>
      <c r="H406" s="590"/>
      <c r="I406" s="590"/>
      <c r="J406" s="590"/>
      <c r="K406" s="123"/>
      <c r="L406" s="82"/>
      <c r="M406" s="122">
        <f ca="1">IF(Снижение!$D$23&gt;0,Снижение!$X$23/Снижение!$D$23,1)</f>
        <v>1</v>
      </c>
      <c r="N406" s="82"/>
      <c r="O406" s="82"/>
      <c r="P406" s="204" t="str">
        <f>IF(K406&gt;0,ROUND(G406/K406,3),"")</f>
        <v/>
      </c>
      <c r="Q406" s="62" t="e">
        <f>IF(AND(ISNUMBER(P406),R406&gt;0),ROUND(P406/R406%-100,3),"")</f>
        <v>#N/A</v>
      </c>
      <c r="R406" s="123" t="e">
        <f>INDEX(Удельники!$L$37:$L$44,MATCH(Снижение!$E$9,Удельники!$A$37:$A$44,0))</f>
        <v>#N/A</v>
      </c>
      <c r="S406" s="2">
        <f ca="1">S119*M406</f>
        <v>0</v>
      </c>
      <c r="T406" s="2">
        <f ca="1">T119*T$397</f>
        <v>0</v>
      </c>
      <c r="U406" s="79">
        <f ca="1">U119*U$397</f>
        <v>0</v>
      </c>
      <c r="V406" s="79">
        <f ca="1">V119*V$397</f>
        <v>0</v>
      </c>
      <c r="W406" s="79">
        <f ca="1">R127*W$397</f>
        <v>-0.19141994813832519</v>
      </c>
    </row>
    <row r="407" spans="1:24" x14ac:dyDescent="0.2">
      <c r="B407" s="60"/>
      <c r="C407" s="82" t="str">
        <f>IF($C$13="","Строительство ПС","Реконструкция ПС")</f>
        <v>Строительство ПС</v>
      </c>
      <c r="D407" s="82"/>
      <c r="E407" s="589" t="s">
        <v>1074</v>
      </c>
      <c r="F407" s="589"/>
      <c r="G407" s="590">
        <f t="shared" ca="1" si="224"/>
        <v>0</v>
      </c>
      <c r="H407" s="590"/>
      <c r="I407" s="590"/>
      <c r="J407" s="590"/>
      <c r="K407" s="123"/>
      <c r="L407" s="82"/>
      <c r="M407" s="122">
        <f ca="1">IF(AND(Снижение!$D$26&gt;0,Снижение!$X$26&gt;0),Снижение!$X$26/Снижение!$D$26,1)</f>
        <v>1</v>
      </c>
      <c r="N407" s="82"/>
      <c r="O407" s="82"/>
      <c r="P407" s="105" t="str">
        <f>IF(K407&gt;0,ROUND(G407/K407,3),"")</f>
        <v/>
      </c>
      <c r="Q407" s="62" t="str">
        <f t="shared" si="222"/>
        <v/>
      </c>
      <c r="R407" s="359">
        <f>IF(P13=35,INDEX(Удельники!$K$37:$K$44,MATCH(Снижение!$E$9,Удельники!$A$37:$A$44,0)),IF(P13=110,INDEX(Удельники!$J$37:$J$44,MATCH(Снижение!$E$9,Удельники!$A$37:$A$44,0)),0))</f>
        <v>0</v>
      </c>
      <c r="S407" s="2">
        <f ca="1">(S310+S311+S312)*M407</f>
        <v>0</v>
      </c>
      <c r="T407" s="2">
        <f ca="1">(T310+T311+T312)*T$397</f>
        <v>0</v>
      </c>
      <c r="U407" s="79">
        <f ca="1">(U310+U311+U312)*U$397</f>
        <v>0</v>
      </c>
      <c r="V407" s="79">
        <f ca="1">(V310+V311+V312)*V$397</f>
        <v>0</v>
      </c>
      <c r="W407" s="79">
        <f ca="1">R316*W$397</f>
        <v>0</v>
      </c>
    </row>
    <row r="408" spans="1:24" x14ac:dyDescent="0.2">
      <c r="C408" s="60"/>
    </row>
    <row r="409" spans="1:24" x14ac:dyDescent="0.2">
      <c r="B409" s="243"/>
      <c r="C409" s="244"/>
      <c r="D409" s="243"/>
      <c r="E409" s="243"/>
      <c r="F409" s="245"/>
      <c r="G409" s="196"/>
    </row>
    <row r="410" spans="1:24" x14ac:dyDescent="0.2">
      <c r="B410" s="145"/>
      <c r="C410" s="5"/>
      <c r="D410" s="56"/>
      <c r="E410" s="310"/>
      <c r="F410" s="310"/>
      <c r="G410" s="310"/>
      <c r="H410" s="310"/>
      <c r="I410" s="310"/>
      <c r="J410" s="310"/>
      <c r="K410" s="56"/>
      <c r="L410" s="56"/>
      <c r="M410" s="56"/>
      <c r="N410" s="62"/>
      <c r="O410" s="62"/>
      <c r="P410" s="62"/>
      <c r="Q410" s="17"/>
      <c r="R410" s="62"/>
    </row>
    <row r="411" spans="1:24" x14ac:dyDescent="0.2">
      <c r="B411" s="145"/>
      <c r="C411" s="145"/>
      <c r="D411" s="145"/>
      <c r="E411" s="145"/>
      <c r="F411" s="145"/>
      <c r="G411" s="145"/>
      <c r="N411" s="60"/>
    </row>
    <row r="412" spans="1:24" x14ac:dyDescent="0.2">
      <c r="B412" s="243"/>
      <c r="C412" s="244"/>
      <c r="D412" s="243"/>
      <c r="E412" s="243"/>
      <c r="F412" s="245"/>
      <c r="G412" s="196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57" priority="1222">
      <formula>($C25="")</formula>
    </cfRule>
  </conditionalFormatting>
  <conditionalFormatting sqref="C24">
    <cfRule type="expression" dxfId="656" priority="1218">
      <formula>($C24="")</formula>
    </cfRule>
  </conditionalFormatting>
  <conditionalFormatting sqref="K25 K50:K54 K406 K216 K45:K48 K135:K136">
    <cfRule type="expression" dxfId="655" priority="1213">
      <formula>($K25="")</formula>
    </cfRule>
  </conditionalFormatting>
  <conditionalFormatting sqref="K26">
    <cfRule type="expression" dxfId="654" priority="1212">
      <formula>($K26="")</formula>
    </cfRule>
  </conditionalFormatting>
  <conditionalFormatting sqref="C20:C22">
    <cfRule type="expression" dxfId="653" priority="1211">
      <formula>($C20="")</formula>
    </cfRule>
  </conditionalFormatting>
  <conditionalFormatting sqref="C62">
    <cfRule type="expression" dxfId="652" priority="1197">
      <formula>($C62="")</formula>
    </cfRule>
  </conditionalFormatting>
  <conditionalFormatting sqref="C69:C73">
    <cfRule type="expression" dxfId="651" priority="1190">
      <formula>($C69="")</formula>
    </cfRule>
  </conditionalFormatting>
  <conditionalFormatting sqref="K69:K73">
    <cfRule type="expression" dxfId="650" priority="1188">
      <formula>($K69="")</formula>
    </cfRule>
  </conditionalFormatting>
  <conditionalFormatting sqref="K61">
    <cfRule type="expression" dxfId="649" priority="1186">
      <formula>($K61="")</formula>
    </cfRule>
  </conditionalFormatting>
  <conditionalFormatting sqref="C76">
    <cfRule type="expression" dxfId="648" priority="1184">
      <formula>($C76="")</formula>
    </cfRule>
  </conditionalFormatting>
  <conditionalFormatting sqref="C89:D89">
    <cfRule type="expression" dxfId="647" priority="1179">
      <formula>($C89="")</formula>
    </cfRule>
  </conditionalFormatting>
  <conditionalFormatting sqref="K89">
    <cfRule type="expression" dxfId="646" priority="1177">
      <formula>($K89="")</formula>
    </cfRule>
  </conditionalFormatting>
  <conditionalFormatting sqref="K89">
    <cfRule type="expression" dxfId="645" priority="1176">
      <formula>($K89="")</formula>
    </cfRule>
  </conditionalFormatting>
  <conditionalFormatting sqref="K89">
    <cfRule type="expression" dxfId="644" priority="1175">
      <formula>($K89="")</formula>
    </cfRule>
  </conditionalFormatting>
  <conditionalFormatting sqref="C61">
    <cfRule type="expression" dxfId="643" priority="1174">
      <formula>($C61="")</formula>
    </cfRule>
  </conditionalFormatting>
  <conditionalFormatting sqref="K62">
    <cfRule type="expression" dxfId="642" priority="1173">
      <formula>($K62="")</formula>
    </cfRule>
  </conditionalFormatting>
  <conditionalFormatting sqref="K63">
    <cfRule type="expression" dxfId="641" priority="1172">
      <formula>($K63="")</formula>
    </cfRule>
  </conditionalFormatting>
  <conditionalFormatting sqref="K64">
    <cfRule type="expression" dxfId="640" priority="1171">
      <formula>($K64="")</formula>
    </cfRule>
  </conditionalFormatting>
  <conditionalFormatting sqref="C63">
    <cfRule type="expression" dxfId="639" priority="1170">
      <formula>($C63="")</formula>
    </cfRule>
  </conditionalFormatting>
  <conditionalFormatting sqref="C26">
    <cfRule type="expression" dxfId="638" priority="1167">
      <formula>($C26="")</formula>
    </cfRule>
  </conditionalFormatting>
  <conditionalFormatting sqref="C27">
    <cfRule type="expression" dxfId="637" priority="1166">
      <formula>($C27="")</formula>
    </cfRule>
  </conditionalFormatting>
  <conditionalFormatting sqref="C28:C36">
    <cfRule type="expression" dxfId="636" priority="1165">
      <formula>($C28="")</formula>
    </cfRule>
  </conditionalFormatting>
  <conditionalFormatting sqref="C37">
    <cfRule type="expression" dxfId="635" priority="1164">
      <formula>($C37="")</formula>
    </cfRule>
  </conditionalFormatting>
  <conditionalFormatting sqref="C38">
    <cfRule type="expression" dxfId="634" priority="1163">
      <formula>($C38="")</formula>
    </cfRule>
  </conditionalFormatting>
  <conditionalFormatting sqref="C39">
    <cfRule type="expression" dxfId="633" priority="1162">
      <formula>($C39="")</formula>
    </cfRule>
  </conditionalFormatting>
  <conditionalFormatting sqref="C40">
    <cfRule type="expression" dxfId="632" priority="1161">
      <formula>($C40="")</formula>
    </cfRule>
  </conditionalFormatting>
  <conditionalFormatting sqref="C41">
    <cfRule type="expression" dxfId="631" priority="1160">
      <formula>($C41="")</formula>
    </cfRule>
  </conditionalFormatting>
  <conditionalFormatting sqref="C42">
    <cfRule type="expression" dxfId="630" priority="1159">
      <formula>($C42="")</formula>
    </cfRule>
  </conditionalFormatting>
  <conditionalFormatting sqref="C43">
    <cfRule type="expression" dxfId="629" priority="1158">
      <formula>($C43="")</formula>
    </cfRule>
  </conditionalFormatting>
  <conditionalFormatting sqref="K27">
    <cfRule type="expression" dxfId="628" priority="1157">
      <formula>($K27="")</formula>
    </cfRule>
  </conditionalFormatting>
  <conditionalFormatting sqref="K28:K36">
    <cfRule type="expression" dxfId="627" priority="1156">
      <formula>($K28="")</formula>
    </cfRule>
  </conditionalFormatting>
  <conditionalFormatting sqref="K37">
    <cfRule type="expression" dxfId="626" priority="1155">
      <formula>($K37="")</formula>
    </cfRule>
  </conditionalFormatting>
  <conditionalFormatting sqref="K38">
    <cfRule type="expression" dxfId="625" priority="1154">
      <formula>($K38="")</formula>
    </cfRule>
  </conditionalFormatting>
  <conditionalFormatting sqref="K39">
    <cfRule type="expression" dxfId="624" priority="1153">
      <formula>($K39="")</formula>
    </cfRule>
  </conditionalFormatting>
  <conditionalFormatting sqref="K40">
    <cfRule type="expression" dxfId="623" priority="1152">
      <formula>($K40="")</formula>
    </cfRule>
  </conditionalFormatting>
  <conditionalFormatting sqref="K41">
    <cfRule type="expression" dxfId="622" priority="1151">
      <formula>($K41="")</formula>
    </cfRule>
  </conditionalFormatting>
  <conditionalFormatting sqref="K42">
    <cfRule type="expression" dxfId="621" priority="1150">
      <formula>($K42="")</formula>
    </cfRule>
  </conditionalFormatting>
  <conditionalFormatting sqref="K43">
    <cfRule type="expression" dxfId="620" priority="1149">
      <formula>($K43="")</formula>
    </cfRule>
  </conditionalFormatting>
  <conditionalFormatting sqref="C64">
    <cfRule type="expression" dxfId="619" priority="1148">
      <formula>($C64="")</formula>
    </cfRule>
  </conditionalFormatting>
  <conditionalFormatting sqref="C65">
    <cfRule type="expression" dxfId="618" priority="1147">
      <formula>($C65="")</formula>
    </cfRule>
  </conditionalFormatting>
  <conditionalFormatting sqref="C66">
    <cfRule type="expression" dxfId="617" priority="1146">
      <formula>($C66="")</formula>
    </cfRule>
  </conditionalFormatting>
  <conditionalFormatting sqref="K65">
    <cfRule type="expression" dxfId="616" priority="1145">
      <formula>($K65="")</formula>
    </cfRule>
  </conditionalFormatting>
  <conditionalFormatting sqref="K66">
    <cfRule type="expression" dxfId="615" priority="1144">
      <formula>($K66="")</formula>
    </cfRule>
  </conditionalFormatting>
  <conditionalFormatting sqref="E24 E78:E86 E50:E54 E45:E48 E135:E136">
    <cfRule type="expression" dxfId="614" priority="1143">
      <formula>($E24="")</formula>
    </cfRule>
  </conditionalFormatting>
  <conditionalFormatting sqref="F24 F78:F86 F50:F54 F45:F48 F135:F136">
    <cfRule type="expression" dxfId="613" priority="1142">
      <formula>($F24="")</formula>
    </cfRule>
  </conditionalFormatting>
  <conditionalFormatting sqref="G24 G50:G54 G216 G45:G48">
    <cfRule type="expression" dxfId="612" priority="1141">
      <formula>($G24="")</formula>
    </cfRule>
  </conditionalFormatting>
  <conditionalFormatting sqref="H24 H78:H86">
    <cfRule type="expression" dxfId="611" priority="1140">
      <formula>($H24="")</formula>
    </cfRule>
  </conditionalFormatting>
  <conditionalFormatting sqref="F25">
    <cfRule type="expression" dxfId="610" priority="1128">
      <formula>($F25="")</formula>
    </cfRule>
  </conditionalFormatting>
  <conditionalFormatting sqref="F26">
    <cfRule type="expression" dxfId="609" priority="1127">
      <formula>($F26="")</formula>
    </cfRule>
  </conditionalFormatting>
  <conditionalFormatting sqref="F27">
    <cfRule type="expression" dxfId="608" priority="1126">
      <formula>($F27="")</formula>
    </cfRule>
  </conditionalFormatting>
  <conditionalFormatting sqref="F28:F36">
    <cfRule type="expression" dxfId="607" priority="1125">
      <formula>($F28="")</formula>
    </cfRule>
  </conditionalFormatting>
  <conditionalFormatting sqref="F37">
    <cfRule type="expression" dxfId="606" priority="1124">
      <formula>($F37="")</formula>
    </cfRule>
  </conditionalFormatting>
  <conditionalFormatting sqref="F38">
    <cfRule type="expression" dxfId="605" priority="1123">
      <formula>($F38="")</formula>
    </cfRule>
  </conditionalFormatting>
  <conditionalFormatting sqref="F39">
    <cfRule type="expression" dxfId="604" priority="1122">
      <formula>($F39="")</formula>
    </cfRule>
  </conditionalFormatting>
  <conditionalFormatting sqref="F40">
    <cfRule type="expression" dxfId="603" priority="1121">
      <formula>($F40="")</formula>
    </cfRule>
  </conditionalFormatting>
  <conditionalFormatting sqref="F41">
    <cfRule type="expression" dxfId="602" priority="1120">
      <formula>($F41="")</formula>
    </cfRule>
  </conditionalFormatting>
  <conditionalFormatting sqref="F42">
    <cfRule type="expression" dxfId="601" priority="1119">
      <formula>($F42="")</formula>
    </cfRule>
  </conditionalFormatting>
  <conditionalFormatting sqref="F43">
    <cfRule type="expression" dxfId="600" priority="1118">
      <formula>($F43="")</formula>
    </cfRule>
  </conditionalFormatting>
  <conditionalFormatting sqref="G25">
    <cfRule type="expression" dxfId="599" priority="1117">
      <formula>($G25="")</formula>
    </cfRule>
  </conditionalFormatting>
  <conditionalFormatting sqref="G26">
    <cfRule type="expression" dxfId="598" priority="1116">
      <formula>($G26="")</formula>
    </cfRule>
  </conditionalFormatting>
  <conditionalFormatting sqref="G27">
    <cfRule type="expression" dxfId="597" priority="1115">
      <formula>($G27="")</formula>
    </cfRule>
  </conditionalFormatting>
  <conditionalFormatting sqref="G28:G36">
    <cfRule type="expression" dxfId="596" priority="1114">
      <formula>($G28="")</formula>
    </cfRule>
  </conditionalFormatting>
  <conditionalFormatting sqref="G37">
    <cfRule type="expression" dxfId="595" priority="1113">
      <formula>($G37="")</formula>
    </cfRule>
  </conditionalFormatting>
  <conditionalFormatting sqref="G38">
    <cfRule type="expression" dxfId="594" priority="1112">
      <formula>($G38="")</formula>
    </cfRule>
  </conditionalFormatting>
  <conditionalFormatting sqref="G39">
    <cfRule type="expression" dxfId="593" priority="1111">
      <formula>($G39="")</formula>
    </cfRule>
  </conditionalFormatting>
  <conditionalFormatting sqref="G40">
    <cfRule type="expression" dxfId="592" priority="1110">
      <formula>($G40="")</formula>
    </cfRule>
  </conditionalFormatting>
  <conditionalFormatting sqref="G41">
    <cfRule type="expression" dxfId="591" priority="1109">
      <formula>($G41="")</formula>
    </cfRule>
  </conditionalFormatting>
  <conditionalFormatting sqref="G42">
    <cfRule type="expression" dxfId="590" priority="1108">
      <formula>($G42="")</formula>
    </cfRule>
  </conditionalFormatting>
  <conditionalFormatting sqref="G43">
    <cfRule type="expression" dxfId="589" priority="1107">
      <formula>($G43="")</formula>
    </cfRule>
  </conditionalFormatting>
  <conditionalFormatting sqref="H25">
    <cfRule type="expression" dxfId="588" priority="1106">
      <formula>($H25="")</formula>
    </cfRule>
  </conditionalFormatting>
  <conditionalFormatting sqref="H26">
    <cfRule type="expression" dxfId="587" priority="1105">
      <formula>($H26="")</formula>
    </cfRule>
  </conditionalFormatting>
  <conditionalFormatting sqref="H27">
    <cfRule type="expression" dxfId="586" priority="1104">
      <formula>($H27="")</formula>
    </cfRule>
  </conditionalFormatting>
  <conditionalFormatting sqref="H28:H36">
    <cfRule type="expression" dxfId="585" priority="1103">
      <formula>($H28="")</formula>
    </cfRule>
  </conditionalFormatting>
  <conditionalFormatting sqref="H37">
    <cfRule type="expression" dxfId="584" priority="1102">
      <formula>($H37="")</formula>
    </cfRule>
  </conditionalFormatting>
  <conditionalFormatting sqref="H38">
    <cfRule type="expression" dxfId="583" priority="1101">
      <formula>($H38="")</formula>
    </cfRule>
  </conditionalFormatting>
  <conditionalFormatting sqref="H39">
    <cfRule type="expression" dxfId="582" priority="1100">
      <formula>($H39="")</formula>
    </cfRule>
  </conditionalFormatting>
  <conditionalFormatting sqref="H40">
    <cfRule type="expression" dxfId="581" priority="1099">
      <formula>($H40="")</formula>
    </cfRule>
  </conditionalFormatting>
  <conditionalFormatting sqref="H41">
    <cfRule type="expression" dxfId="580" priority="1098">
      <formula>($H41="")</formula>
    </cfRule>
  </conditionalFormatting>
  <conditionalFormatting sqref="H42">
    <cfRule type="expression" dxfId="579" priority="1097">
      <formula>($H42="")</formula>
    </cfRule>
  </conditionalFormatting>
  <conditionalFormatting sqref="H43">
    <cfRule type="expression" dxfId="578" priority="1096">
      <formula>($H43="")</formula>
    </cfRule>
  </conditionalFormatting>
  <conditionalFormatting sqref="F61">
    <cfRule type="expression" dxfId="577" priority="1085">
      <formula>($F61="")</formula>
    </cfRule>
  </conditionalFormatting>
  <conditionalFormatting sqref="G61">
    <cfRule type="expression" dxfId="576" priority="1084">
      <formula>($G61="")</formula>
    </cfRule>
  </conditionalFormatting>
  <conditionalFormatting sqref="F62">
    <cfRule type="expression" dxfId="575" priority="1082">
      <formula>($F62="")</formula>
    </cfRule>
  </conditionalFormatting>
  <conditionalFormatting sqref="G62">
    <cfRule type="expression" dxfId="574" priority="1081">
      <formula>($G62="")</formula>
    </cfRule>
  </conditionalFormatting>
  <conditionalFormatting sqref="F63">
    <cfRule type="expression" dxfId="573" priority="1079">
      <formula>($F63="")</formula>
    </cfRule>
  </conditionalFormatting>
  <conditionalFormatting sqref="G63">
    <cfRule type="expression" dxfId="572" priority="1078">
      <formula>($G63="")</formula>
    </cfRule>
  </conditionalFormatting>
  <conditionalFormatting sqref="F64">
    <cfRule type="expression" dxfId="571" priority="1076">
      <formula>($F64="")</formula>
    </cfRule>
  </conditionalFormatting>
  <conditionalFormatting sqref="G64">
    <cfRule type="expression" dxfId="570" priority="1075">
      <formula>($G64="")</formula>
    </cfRule>
  </conditionalFormatting>
  <conditionalFormatting sqref="F69:F73">
    <cfRule type="expression" dxfId="569" priority="1068">
      <formula>($F69="")</formula>
    </cfRule>
  </conditionalFormatting>
  <conditionalFormatting sqref="F76">
    <cfRule type="expression" dxfId="568" priority="1065">
      <formula>($F76="")</formula>
    </cfRule>
  </conditionalFormatting>
  <conditionalFormatting sqref="G76">
    <cfRule type="expression" dxfId="567" priority="1064">
      <formula>($G76="")</formula>
    </cfRule>
  </conditionalFormatting>
  <conditionalFormatting sqref="H76">
    <cfRule type="expression" dxfId="566" priority="1063">
      <formula>($H76="")</formula>
    </cfRule>
  </conditionalFormatting>
  <conditionalFormatting sqref="G89">
    <cfRule type="expression" dxfId="565" priority="1060">
      <formula>($G89="")</formula>
    </cfRule>
  </conditionalFormatting>
  <conditionalFormatting sqref="H89">
    <cfRule type="expression" dxfId="564" priority="1059">
      <formula>($H89="")</formula>
    </cfRule>
  </conditionalFormatting>
  <conditionalFormatting sqref="P89">
    <cfRule type="expression" dxfId="563" priority="1034">
      <formula>$P89=""</formula>
    </cfRule>
  </conditionalFormatting>
  <conditionalFormatting sqref="F65">
    <cfRule type="expression" dxfId="562" priority="1032">
      <formula>($F65="")</formula>
    </cfRule>
  </conditionalFormatting>
  <conditionalFormatting sqref="G65">
    <cfRule type="expression" dxfId="561" priority="1031">
      <formula>($G65="")</formula>
    </cfRule>
  </conditionalFormatting>
  <conditionalFormatting sqref="F66">
    <cfRule type="expression" dxfId="560" priority="1029">
      <formula>($F66="")</formula>
    </cfRule>
  </conditionalFormatting>
  <conditionalFormatting sqref="G66">
    <cfRule type="expression" dxfId="559" priority="1028">
      <formula>($G66="")</formula>
    </cfRule>
  </conditionalFormatting>
  <conditionalFormatting sqref="C283 Q294:Q296 Q237:Q239 Q255:Q292 Q24:Q43 Q161:Q172 Q218 Q215:Q216 Q221:Q223">
    <cfRule type="expression" dxfId="558" priority="1224">
      <formula>($Q24="V")</formula>
    </cfRule>
  </conditionalFormatting>
  <conditionalFormatting sqref="Q89 Q61:Q67 Q294:Q296 Q76:Q87 Q273:Q292 Q25:Q43 Q50:Q54 Q218 Q214:Q216 Q45:Q48 Q221:Q224 Q20:Q22 Q69:Q73 B69:B73">
    <cfRule type="expression" dxfId="557" priority="1225">
      <formula>($Q20="√")</formula>
    </cfRule>
  </conditionalFormatting>
  <conditionalFormatting sqref="C12">
    <cfRule type="expression" dxfId="556" priority="1027">
      <formula>($C12="")</formula>
    </cfRule>
  </conditionalFormatting>
  <conditionalFormatting sqref="C11">
    <cfRule type="expression" dxfId="555" priority="1026">
      <formula>($C11="")</formula>
    </cfRule>
  </conditionalFormatting>
  <conditionalFormatting sqref="C67">
    <cfRule type="expression" dxfId="554" priority="1018">
      <formula>($C67="")</formula>
    </cfRule>
  </conditionalFormatting>
  <conditionalFormatting sqref="K67">
    <cfRule type="expression" dxfId="553" priority="1017">
      <formula>($K67="")</formula>
    </cfRule>
  </conditionalFormatting>
  <conditionalFormatting sqref="F67">
    <cfRule type="expression" dxfId="552" priority="1014">
      <formula>($F67="")</formula>
    </cfRule>
  </conditionalFormatting>
  <conditionalFormatting sqref="G67">
    <cfRule type="expression" dxfId="551" priority="1013">
      <formula>($G67="")</formula>
    </cfRule>
  </conditionalFormatting>
  <conditionalFormatting sqref="C6:R6">
    <cfRule type="expression" dxfId="550" priority="1012">
      <formula>($C6="")</formula>
    </cfRule>
  </conditionalFormatting>
  <conditionalFormatting sqref="M69:M73">
    <cfRule type="expression" dxfId="549" priority="1011">
      <formula>($Q69="√")</formula>
    </cfRule>
  </conditionalFormatting>
  <conditionalFormatting sqref="C8 D8">
    <cfRule type="expression" dxfId="548" priority="1010">
      <formula>($C8="")</formula>
    </cfRule>
  </conditionalFormatting>
  <conditionalFormatting sqref="C9 D9">
    <cfRule type="expression" dxfId="547" priority="1009">
      <formula>($C9="")</formula>
    </cfRule>
  </conditionalFormatting>
  <conditionalFormatting sqref="L69:L73">
    <cfRule type="expression" dxfId="546" priority="1008">
      <formula>($Q69="√")</formula>
    </cfRule>
  </conditionalFormatting>
  <conditionalFormatting sqref="K20:K22">
    <cfRule type="expression" dxfId="545" priority="1005">
      <formula>($K20="")</formula>
    </cfRule>
  </conditionalFormatting>
  <conditionalFormatting sqref="G11">
    <cfRule type="expression" dxfId="544" priority="1004">
      <formula>($G11="")</formula>
    </cfRule>
  </conditionalFormatting>
  <conditionalFormatting sqref="G12">
    <cfRule type="expression" dxfId="543" priority="1003">
      <formula>($G12="")</formula>
    </cfRule>
  </conditionalFormatting>
  <conditionalFormatting sqref="Q138:Q158">
    <cfRule type="expression" dxfId="542" priority="993">
      <formula>($Q138="V")</formula>
    </cfRule>
  </conditionalFormatting>
  <conditionalFormatting sqref="C162:C165">
    <cfRule type="expression" dxfId="541" priority="990">
      <formula>($C162="")</formula>
    </cfRule>
  </conditionalFormatting>
  <conditionalFormatting sqref="K162:K165">
    <cfRule type="expression" dxfId="540" priority="989">
      <formula>($K162="")</formula>
    </cfRule>
  </conditionalFormatting>
  <conditionalFormatting sqref="Q162:Q165">
    <cfRule type="expression" dxfId="539" priority="984">
      <formula>($Q162="√")</formula>
    </cfRule>
  </conditionalFormatting>
  <conditionalFormatting sqref="C166">
    <cfRule type="expression" dxfId="538" priority="983">
      <formula>($C166="")</formula>
    </cfRule>
  </conditionalFormatting>
  <conditionalFormatting sqref="K166">
    <cfRule type="expression" dxfId="537" priority="982">
      <formula>($K166="")</formula>
    </cfRule>
  </conditionalFormatting>
  <conditionalFormatting sqref="Q166:Q172">
    <cfRule type="expression" dxfId="536" priority="977">
      <formula>($Q166="√")</formula>
    </cfRule>
  </conditionalFormatting>
  <conditionalFormatting sqref="K154:K157">
    <cfRule type="expression" dxfId="535" priority="976">
      <formula>($K154="")</formula>
    </cfRule>
  </conditionalFormatting>
  <conditionalFormatting sqref="C154:C157">
    <cfRule type="expression" dxfId="534" priority="975">
      <formula>($C154="")</formula>
    </cfRule>
  </conditionalFormatting>
  <conditionalFormatting sqref="C158">
    <cfRule type="expression" dxfId="533" priority="974">
      <formula>($C158="")</formula>
    </cfRule>
  </conditionalFormatting>
  <conditionalFormatting sqref="K158">
    <cfRule type="expression" dxfId="532" priority="973">
      <formula>($K158="")</formula>
    </cfRule>
  </conditionalFormatting>
  <conditionalFormatting sqref="Q154:Q158">
    <cfRule type="expression" dxfId="531" priority="964">
      <formula>($Q154="√")</formula>
    </cfRule>
  </conditionalFormatting>
  <conditionalFormatting sqref="K168:K171">
    <cfRule type="expression" dxfId="530" priority="963">
      <formula>($K168="")</formula>
    </cfRule>
  </conditionalFormatting>
  <conditionalFormatting sqref="C168:C171">
    <cfRule type="expression" dxfId="529" priority="962">
      <formula>($C168="")</formula>
    </cfRule>
  </conditionalFormatting>
  <conditionalFormatting sqref="C172">
    <cfRule type="expression" dxfId="528" priority="961">
      <formula>($C172="")</formula>
    </cfRule>
  </conditionalFormatting>
  <conditionalFormatting sqref="K172">
    <cfRule type="expression" dxfId="527" priority="960">
      <formula>($K172="")</formula>
    </cfRule>
  </conditionalFormatting>
  <conditionalFormatting sqref="Q168:Q172">
    <cfRule type="expression" dxfId="526" priority="951">
      <formula>($Q168="√")</formula>
    </cfRule>
  </conditionalFormatting>
  <conditionalFormatting sqref="K255">
    <cfRule type="expression" dxfId="525" priority="950">
      <formula>($K255="")</formula>
    </cfRule>
  </conditionalFormatting>
  <conditionalFormatting sqref="G255">
    <cfRule type="expression" dxfId="524" priority="946">
      <formula>($G255="")</formula>
    </cfRule>
  </conditionalFormatting>
  <conditionalFormatting sqref="C272">
    <cfRule type="expression" dxfId="523" priority="942">
      <formula>($C272="")</formula>
    </cfRule>
  </conditionalFormatting>
  <conditionalFormatting sqref="K272">
    <cfRule type="expression" dxfId="522" priority="941">
      <formula>($K272="")</formula>
    </cfRule>
  </conditionalFormatting>
  <conditionalFormatting sqref="G272">
    <cfRule type="expression" dxfId="521" priority="938">
      <formula>($G272="")</formula>
    </cfRule>
  </conditionalFormatting>
  <conditionalFormatting sqref="Q272">
    <cfRule type="expression" dxfId="520" priority="936">
      <formula>($Q272="√")</formula>
    </cfRule>
  </conditionalFormatting>
  <conditionalFormatting sqref="C273">
    <cfRule type="expression" dxfId="519" priority="935">
      <formula>($C273="")</formula>
    </cfRule>
  </conditionalFormatting>
  <conditionalFormatting sqref="K273">
    <cfRule type="expression" dxfId="518" priority="934">
      <formula>($K273="")</formula>
    </cfRule>
  </conditionalFormatting>
  <conditionalFormatting sqref="G273">
    <cfRule type="expression" dxfId="517" priority="931">
      <formula>($G273="")</formula>
    </cfRule>
  </conditionalFormatting>
  <conditionalFormatting sqref="K267">
    <cfRule type="expression" dxfId="516" priority="928">
      <formula>($K267="")</formula>
    </cfRule>
  </conditionalFormatting>
  <conditionalFormatting sqref="C267">
    <cfRule type="expression" dxfId="515" priority="927">
      <formula>($C267="")</formula>
    </cfRule>
  </conditionalFormatting>
  <conditionalFormatting sqref="C268">
    <cfRule type="expression" dxfId="514" priority="926">
      <formula>($C268="")</formula>
    </cfRule>
  </conditionalFormatting>
  <conditionalFormatting sqref="K268">
    <cfRule type="expression" dxfId="513" priority="925">
      <formula>($K268="")</formula>
    </cfRule>
  </conditionalFormatting>
  <conditionalFormatting sqref="G267">
    <cfRule type="expression" dxfId="512" priority="922">
      <formula>($G267="")</formula>
    </cfRule>
  </conditionalFormatting>
  <conditionalFormatting sqref="G268">
    <cfRule type="expression" dxfId="511" priority="919">
      <formula>($G268="")</formula>
    </cfRule>
  </conditionalFormatting>
  <conditionalFormatting sqref="Q267:Q270">
    <cfRule type="expression" dxfId="510" priority="916">
      <formula>($Q267="√")</formula>
    </cfRule>
  </conditionalFormatting>
  <conditionalFormatting sqref="K275">
    <cfRule type="expression" dxfId="509" priority="915">
      <formula>($K275="")</formula>
    </cfRule>
  </conditionalFormatting>
  <conditionalFormatting sqref="C275">
    <cfRule type="expression" dxfId="508" priority="914">
      <formula>($C275="")</formula>
    </cfRule>
  </conditionalFormatting>
  <conditionalFormatting sqref="C276">
    <cfRule type="expression" dxfId="507" priority="913">
      <formula>($C276="")</formula>
    </cfRule>
  </conditionalFormatting>
  <conditionalFormatting sqref="K276">
    <cfRule type="expression" dxfId="506" priority="912">
      <formula>($K276="")</formula>
    </cfRule>
  </conditionalFormatting>
  <conditionalFormatting sqref="G275">
    <cfRule type="expression" dxfId="505" priority="909">
      <formula>($G275="")</formula>
    </cfRule>
  </conditionalFormatting>
  <conditionalFormatting sqref="G276">
    <cfRule type="expression" dxfId="504" priority="906">
      <formula>($G276="")</formula>
    </cfRule>
  </conditionalFormatting>
  <conditionalFormatting sqref="C232">
    <cfRule type="expression" dxfId="503" priority="894">
      <formula>($C232="")</formula>
    </cfRule>
  </conditionalFormatting>
  <conditionalFormatting sqref="G232">
    <cfRule type="expression" dxfId="502" priority="890">
      <formula>($G232="")</formula>
    </cfRule>
  </conditionalFormatting>
  <conditionalFormatting sqref="Q232">
    <cfRule type="expression" dxfId="501" priority="888">
      <formula>($Q232="√")</formula>
    </cfRule>
  </conditionalFormatting>
  <conditionalFormatting sqref="G233">
    <cfRule type="expression" dxfId="500" priority="883">
      <formula>($G233="")</formula>
    </cfRule>
  </conditionalFormatting>
  <conditionalFormatting sqref="Q233">
    <cfRule type="expression" dxfId="499" priority="881">
      <formula>($Q233="√")</formula>
    </cfRule>
  </conditionalFormatting>
  <conditionalFormatting sqref="C210">
    <cfRule type="expression" dxfId="498" priority="879">
      <formula>($C210="")</formula>
    </cfRule>
  </conditionalFormatting>
  <conditionalFormatting sqref="C211">
    <cfRule type="expression" dxfId="497" priority="878">
      <formula>($C211="")</formula>
    </cfRule>
  </conditionalFormatting>
  <conditionalFormatting sqref="G211">
    <cfRule type="expression" dxfId="496" priority="871">
      <formula>($G211="")</formula>
    </cfRule>
  </conditionalFormatting>
  <conditionalFormatting sqref="Q210">
    <cfRule type="expression" dxfId="495" priority="868">
      <formula>($Q210="√")</formula>
    </cfRule>
  </conditionalFormatting>
  <conditionalFormatting sqref="K246">
    <cfRule type="expression" dxfId="494" priority="866">
      <formula>($K246="")</formula>
    </cfRule>
  </conditionalFormatting>
  <conditionalFormatting sqref="Q246">
    <cfRule type="expression" dxfId="493" priority="861">
      <formula>($Q246="√")</formula>
    </cfRule>
  </conditionalFormatting>
  <conditionalFormatting sqref="G87">
    <cfRule type="expression" dxfId="492" priority="857">
      <formula>($G89="")</formula>
    </cfRule>
  </conditionalFormatting>
  <conditionalFormatting sqref="H87">
    <cfRule type="expression" dxfId="491" priority="856">
      <formula>($H89="")</formula>
    </cfRule>
  </conditionalFormatting>
  <conditionalFormatting sqref="C87">
    <cfRule type="expression" dxfId="490" priority="855">
      <formula>($C87="")</formula>
    </cfRule>
  </conditionalFormatting>
  <conditionalFormatting sqref="K77">
    <cfRule type="expression" dxfId="489" priority="854">
      <formula>($K77="")</formula>
    </cfRule>
  </conditionalFormatting>
  <conditionalFormatting sqref="C274">
    <cfRule type="expression" dxfId="488" priority="847">
      <formula>($Q274="V")</formula>
    </cfRule>
  </conditionalFormatting>
  <conditionalFormatting sqref="C213">
    <cfRule type="expression" dxfId="487" priority="840">
      <formula>($C213="")</formula>
    </cfRule>
  </conditionalFormatting>
  <conditionalFormatting sqref="C217 C219:C220">
    <cfRule type="expression" dxfId="486" priority="839">
      <formula>($C217="")</formula>
    </cfRule>
  </conditionalFormatting>
  <conditionalFormatting sqref="C138">
    <cfRule type="expression" dxfId="485" priority="810">
      <formula>($C138="")</formula>
    </cfRule>
  </conditionalFormatting>
  <conditionalFormatting sqref="C139">
    <cfRule type="expression" dxfId="484" priority="809">
      <formula>($C139="")</formula>
    </cfRule>
  </conditionalFormatting>
  <conditionalFormatting sqref="C140:C148">
    <cfRule type="expression" dxfId="483" priority="808">
      <formula>($C140="")</formula>
    </cfRule>
  </conditionalFormatting>
  <conditionalFormatting sqref="C149">
    <cfRule type="expression" dxfId="482" priority="807">
      <formula>($C149="")</formula>
    </cfRule>
  </conditionalFormatting>
  <conditionalFormatting sqref="C150">
    <cfRule type="expression" dxfId="481" priority="806">
      <formula>($C150="")</formula>
    </cfRule>
  </conditionalFormatting>
  <conditionalFormatting sqref="C151">
    <cfRule type="expression" dxfId="480" priority="805">
      <formula>($C151="")</formula>
    </cfRule>
  </conditionalFormatting>
  <conditionalFormatting sqref="C152">
    <cfRule type="expression" dxfId="479" priority="804">
      <formula>($C152="")</formula>
    </cfRule>
  </conditionalFormatting>
  <conditionalFormatting sqref="K138">
    <cfRule type="expression" dxfId="478" priority="803">
      <formula>($K138="")</formula>
    </cfRule>
  </conditionalFormatting>
  <conditionalFormatting sqref="K139">
    <cfRule type="expression" dxfId="477" priority="802">
      <formula>($K139="")</formula>
    </cfRule>
  </conditionalFormatting>
  <conditionalFormatting sqref="K140:K148">
    <cfRule type="expression" dxfId="476" priority="801">
      <formula>($K140="")</formula>
    </cfRule>
  </conditionalFormatting>
  <conditionalFormatting sqref="K149">
    <cfRule type="expression" dxfId="475" priority="800">
      <formula>($K149="")</formula>
    </cfRule>
  </conditionalFormatting>
  <conditionalFormatting sqref="K150">
    <cfRule type="expression" dxfId="474" priority="799">
      <formula>($K150="")</formula>
    </cfRule>
  </conditionalFormatting>
  <conditionalFormatting sqref="K151">
    <cfRule type="expression" dxfId="473" priority="798">
      <formula>($K151="")</formula>
    </cfRule>
  </conditionalFormatting>
  <conditionalFormatting sqref="K152">
    <cfRule type="expression" dxfId="472" priority="797">
      <formula>($K152="")</formula>
    </cfRule>
  </conditionalFormatting>
  <conditionalFormatting sqref="P168 P50:P54 P216 P45:P48 P135:P136">
    <cfRule type="expression" dxfId="471" priority="778">
      <formula>($P45="")</formula>
    </cfRule>
  </conditionalFormatting>
  <conditionalFormatting sqref="P172">
    <cfRule type="expression" dxfId="470" priority="777">
      <formula>($P172="")</formula>
    </cfRule>
  </conditionalFormatting>
  <conditionalFormatting sqref="G213">
    <cfRule type="expression" dxfId="469" priority="776">
      <formula>($G213="")</formula>
    </cfRule>
  </conditionalFormatting>
  <conditionalFormatting sqref="P211">
    <cfRule type="expression" dxfId="468" priority="771">
      <formula>($P211="")</formula>
    </cfRule>
  </conditionalFormatting>
  <conditionalFormatting sqref="C233:C235">
    <cfRule type="expression" dxfId="467" priority="766">
      <formula>($C233="")</formula>
    </cfRule>
  </conditionalFormatting>
  <conditionalFormatting sqref="G234">
    <cfRule type="expression" dxfId="466" priority="760">
      <formula>($G234="")</formula>
    </cfRule>
  </conditionalFormatting>
  <conditionalFormatting sqref="G235">
    <cfRule type="expression" dxfId="465" priority="759">
      <formula>($G235="")</formula>
    </cfRule>
  </conditionalFormatting>
  <conditionalFormatting sqref="P232">
    <cfRule type="expression" dxfId="464" priority="756">
      <formula>($P232="")</formula>
    </cfRule>
  </conditionalFormatting>
  <conditionalFormatting sqref="Q211">
    <cfRule type="expression" dxfId="463" priority="752">
      <formula>($Q211="√")</formula>
    </cfRule>
  </conditionalFormatting>
  <conditionalFormatting sqref="Q213">
    <cfRule type="expression" dxfId="462" priority="751">
      <formula>($Q213="√")</formula>
    </cfRule>
  </conditionalFormatting>
  <conditionalFormatting sqref="Q217 Q219:Q220">
    <cfRule type="expression" dxfId="461" priority="750">
      <formula>($Q217="√")</formula>
    </cfRule>
  </conditionalFormatting>
  <conditionalFormatting sqref="P210">
    <cfRule type="expression" dxfId="460" priority="749">
      <formula>($P210="")</formula>
    </cfRule>
  </conditionalFormatting>
  <conditionalFormatting sqref="P213">
    <cfRule type="expression" dxfId="459" priority="748">
      <formula>($P213="")</formula>
    </cfRule>
  </conditionalFormatting>
  <conditionalFormatting sqref="P138">
    <cfRule type="expression" dxfId="458" priority="745">
      <formula>($P138="")</formula>
    </cfRule>
  </conditionalFormatting>
  <conditionalFormatting sqref="P139">
    <cfRule type="expression" dxfId="457" priority="744">
      <formula>($P139="")</formula>
    </cfRule>
  </conditionalFormatting>
  <conditionalFormatting sqref="P140:P148">
    <cfRule type="expression" dxfId="456" priority="743">
      <formula>($P140="")</formula>
    </cfRule>
  </conditionalFormatting>
  <conditionalFormatting sqref="P149">
    <cfRule type="expression" dxfId="455" priority="742">
      <formula>($P149="")</formula>
    </cfRule>
  </conditionalFormatting>
  <conditionalFormatting sqref="P150">
    <cfRule type="expression" dxfId="454" priority="741">
      <formula>($P150="")</formula>
    </cfRule>
  </conditionalFormatting>
  <conditionalFormatting sqref="P151">
    <cfRule type="expression" dxfId="453" priority="740">
      <formula>($P151="")</formula>
    </cfRule>
  </conditionalFormatting>
  <conditionalFormatting sqref="P152">
    <cfRule type="expression" dxfId="452" priority="739">
      <formula>($P152="")</formula>
    </cfRule>
  </conditionalFormatting>
  <conditionalFormatting sqref="P154:P157">
    <cfRule type="expression" dxfId="451" priority="738">
      <formula>($P154="")</formula>
    </cfRule>
  </conditionalFormatting>
  <conditionalFormatting sqref="P158">
    <cfRule type="expression" dxfId="450" priority="737">
      <formula>($P158="")</formula>
    </cfRule>
  </conditionalFormatting>
  <conditionalFormatting sqref="P162:P165">
    <cfRule type="expression" dxfId="449" priority="736">
      <formula>($P162="")</formula>
    </cfRule>
  </conditionalFormatting>
  <conditionalFormatting sqref="P166">
    <cfRule type="expression" dxfId="448" priority="735">
      <formula>($P166="")</formula>
    </cfRule>
  </conditionalFormatting>
  <conditionalFormatting sqref="P233">
    <cfRule type="expression" dxfId="447" priority="734">
      <formula>($P233="")</formula>
    </cfRule>
  </conditionalFormatting>
  <conditionalFormatting sqref="P234">
    <cfRule type="expression" dxfId="446" priority="733">
      <formula>($P234="")</formula>
    </cfRule>
  </conditionalFormatting>
  <conditionalFormatting sqref="P235">
    <cfRule type="expression" dxfId="445" priority="732">
      <formula>($P235="")</formula>
    </cfRule>
  </conditionalFormatting>
  <conditionalFormatting sqref="P246">
    <cfRule type="expression" dxfId="444" priority="731">
      <formula>($P246="")</formula>
    </cfRule>
  </conditionalFormatting>
  <conditionalFormatting sqref="P247">
    <cfRule type="expression" dxfId="443" priority="730">
      <formula>($P247="")</formula>
    </cfRule>
  </conditionalFormatting>
  <conditionalFormatting sqref="P255">
    <cfRule type="expression" dxfId="442" priority="729">
      <formula>($P255="")</formula>
    </cfRule>
  </conditionalFormatting>
  <conditionalFormatting sqref="P256">
    <cfRule type="expression" dxfId="441" priority="728">
      <formula>($P256="")</formula>
    </cfRule>
  </conditionalFormatting>
  <conditionalFormatting sqref="P257">
    <cfRule type="expression" dxfId="440" priority="727">
      <formula>($P257="")</formula>
    </cfRule>
  </conditionalFormatting>
  <conditionalFormatting sqref="P258">
    <cfRule type="expression" dxfId="439" priority="726">
      <formula>($P258="")</formula>
    </cfRule>
  </conditionalFormatting>
  <conditionalFormatting sqref="P259">
    <cfRule type="expression" dxfId="438" priority="725">
      <formula>($P259="")</formula>
    </cfRule>
  </conditionalFormatting>
  <conditionalFormatting sqref="P260">
    <cfRule type="expression" dxfId="437" priority="724">
      <formula>($P260="")</formula>
    </cfRule>
  </conditionalFormatting>
  <conditionalFormatting sqref="P261">
    <cfRule type="expression" dxfId="436" priority="723">
      <formula>($P261="")</formula>
    </cfRule>
  </conditionalFormatting>
  <conditionalFormatting sqref="P262">
    <cfRule type="expression" dxfId="435" priority="722">
      <formula>($P262="")</formula>
    </cfRule>
  </conditionalFormatting>
  <conditionalFormatting sqref="C241:C244">
    <cfRule type="expression" dxfId="434" priority="715">
      <formula>($C241="")</formula>
    </cfRule>
  </conditionalFormatting>
  <conditionalFormatting sqref="C241">
    <cfRule type="expression" dxfId="433" priority="712">
      <formula>($C241="")</formula>
    </cfRule>
  </conditionalFormatting>
  <conditionalFormatting sqref="G241">
    <cfRule type="expression" dxfId="432" priority="708">
      <formula>($G241="")</formula>
    </cfRule>
  </conditionalFormatting>
  <conditionalFormatting sqref="Q241">
    <cfRule type="expression" dxfId="431" priority="707">
      <formula>($Q241="√")</formula>
    </cfRule>
  </conditionalFormatting>
  <conditionalFormatting sqref="P241">
    <cfRule type="expression" dxfId="430" priority="706">
      <formula>($P241="")</formula>
    </cfRule>
  </conditionalFormatting>
  <conditionalFormatting sqref="P242:P244">
    <cfRule type="expression" dxfId="429" priority="705">
      <formula>($P242="")</formula>
    </cfRule>
  </conditionalFormatting>
  <conditionalFormatting sqref="G242">
    <cfRule type="expression" dxfId="428" priority="704">
      <formula>($G242="")</formula>
    </cfRule>
  </conditionalFormatting>
  <conditionalFormatting sqref="C243">
    <cfRule type="expression" dxfId="427" priority="702">
      <formula>($C243="")</formula>
    </cfRule>
  </conditionalFormatting>
  <conditionalFormatting sqref="G243">
    <cfRule type="expression" dxfId="426" priority="700">
      <formula>($G243="")</formula>
    </cfRule>
  </conditionalFormatting>
  <conditionalFormatting sqref="Q243">
    <cfRule type="expression" dxfId="425" priority="699">
      <formula>($Q243="√")</formula>
    </cfRule>
  </conditionalFormatting>
  <conditionalFormatting sqref="P243">
    <cfRule type="expression" dxfId="424" priority="698">
      <formula>($P243="")</formula>
    </cfRule>
  </conditionalFormatting>
  <conditionalFormatting sqref="K241">
    <cfRule type="expression" dxfId="423" priority="697">
      <formula>($K241="")</formula>
    </cfRule>
  </conditionalFormatting>
  <conditionalFormatting sqref="K242">
    <cfRule type="expression" dxfId="422" priority="696">
      <formula>($K242="")</formula>
    </cfRule>
  </conditionalFormatting>
  <conditionalFormatting sqref="K243">
    <cfRule type="expression" dxfId="421" priority="695">
      <formula>($K243="")</formula>
    </cfRule>
  </conditionalFormatting>
  <conditionalFormatting sqref="K244">
    <cfRule type="expression" dxfId="420" priority="694">
      <formula>($K244="")</formula>
    </cfRule>
  </conditionalFormatting>
  <conditionalFormatting sqref="G246">
    <cfRule type="expression" dxfId="419" priority="693">
      <formula>($G246="")</formula>
    </cfRule>
  </conditionalFormatting>
  <conditionalFormatting sqref="K247">
    <cfRule type="expression" dxfId="418" priority="690">
      <formula>($K247="")</formula>
    </cfRule>
  </conditionalFormatting>
  <conditionalFormatting sqref="G247">
    <cfRule type="expression" dxfId="417" priority="689">
      <formula>($G247="")</formula>
    </cfRule>
  </conditionalFormatting>
  <conditionalFormatting sqref="G248">
    <cfRule type="expression" dxfId="416" priority="688">
      <formula>($G248="")</formula>
    </cfRule>
  </conditionalFormatting>
  <conditionalFormatting sqref="C247">
    <cfRule type="expression" dxfId="415" priority="687">
      <formula>($C247="")</formula>
    </cfRule>
  </conditionalFormatting>
  <conditionalFormatting sqref="C248">
    <cfRule type="expression" dxfId="414" priority="686">
      <formula>($C248="")</formula>
    </cfRule>
  </conditionalFormatting>
  <conditionalFormatting sqref="K248">
    <cfRule type="expression" dxfId="413" priority="685">
      <formula>($K248="")</formula>
    </cfRule>
  </conditionalFormatting>
  <conditionalFormatting sqref="P248">
    <cfRule type="expression" dxfId="412" priority="684">
      <formula>($P248="")</formula>
    </cfRule>
  </conditionalFormatting>
  <conditionalFormatting sqref="P249">
    <cfRule type="expression" dxfId="411" priority="683">
      <formula>($P249="")</formula>
    </cfRule>
  </conditionalFormatting>
  <conditionalFormatting sqref="G249">
    <cfRule type="expression" dxfId="410" priority="681">
      <formula>($G249="")</formula>
    </cfRule>
  </conditionalFormatting>
  <conditionalFormatting sqref="K249">
    <cfRule type="expression" dxfId="409" priority="680">
      <formula>($K249="")</formula>
    </cfRule>
  </conditionalFormatting>
  <conditionalFormatting sqref="C255">
    <cfRule type="expression" dxfId="408" priority="679">
      <formula>($C255="")</formula>
    </cfRule>
  </conditionalFormatting>
  <conditionalFormatting sqref="C256">
    <cfRule type="expression" dxfId="407" priority="678">
      <formula>($C256="")</formula>
    </cfRule>
  </conditionalFormatting>
  <conditionalFormatting sqref="C257">
    <cfRule type="expression" dxfId="406" priority="677">
      <formula>($C257="")</formula>
    </cfRule>
  </conditionalFormatting>
  <conditionalFormatting sqref="C258">
    <cfRule type="expression" dxfId="405" priority="676">
      <formula>($C258="")</formula>
    </cfRule>
  </conditionalFormatting>
  <conditionalFormatting sqref="C259">
    <cfRule type="expression" dxfId="404" priority="675">
      <formula>($C259="")</formula>
    </cfRule>
  </conditionalFormatting>
  <conditionalFormatting sqref="C260">
    <cfRule type="expression" dxfId="403" priority="674">
      <formula>($C260="")</formula>
    </cfRule>
  </conditionalFormatting>
  <conditionalFormatting sqref="C261">
    <cfRule type="expression" dxfId="402" priority="673">
      <formula>($C261="")</formula>
    </cfRule>
  </conditionalFormatting>
  <conditionalFormatting sqref="C262">
    <cfRule type="expression" dxfId="401" priority="672">
      <formula>($C262="")</formula>
    </cfRule>
  </conditionalFormatting>
  <conditionalFormatting sqref="G256">
    <cfRule type="expression" dxfId="400" priority="671">
      <formula>($G256="")</formula>
    </cfRule>
  </conditionalFormatting>
  <conditionalFormatting sqref="G257">
    <cfRule type="expression" dxfId="399" priority="670">
      <formula>($G257="")</formula>
    </cfRule>
  </conditionalFormatting>
  <conditionalFormatting sqref="G258">
    <cfRule type="expression" dxfId="398" priority="669">
      <formula>($G258="")</formula>
    </cfRule>
  </conditionalFormatting>
  <conditionalFormatting sqref="G259">
    <cfRule type="expression" dxfId="397" priority="668">
      <formula>($G259="")</formula>
    </cfRule>
  </conditionalFormatting>
  <conditionalFormatting sqref="G260">
    <cfRule type="expression" dxfId="396" priority="667">
      <formula>($G260="")</formula>
    </cfRule>
  </conditionalFormatting>
  <conditionalFormatting sqref="G261">
    <cfRule type="expression" dxfId="395" priority="666">
      <formula>($G261="")</formula>
    </cfRule>
  </conditionalFormatting>
  <conditionalFormatting sqref="G262">
    <cfRule type="expression" dxfId="394" priority="665">
      <formula>($G262="")</formula>
    </cfRule>
  </conditionalFormatting>
  <conditionalFormatting sqref="K256">
    <cfRule type="expression" dxfId="393" priority="664">
      <formula>($K256="")</formula>
    </cfRule>
  </conditionalFormatting>
  <conditionalFormatting sqref="K257">
    <cfRule type="expression" dxfId="392" priority="663">
      <formula>($K257="")</formula>
    </cfRule>
  </conditionalFormatting>
  <conditionalFormatting sqref="K258">
    <cfRule type="expression" dxfId="391" priority="662">
      <formula>($K258="")</formula>
    </cfRule>
  </conditionalFormatting>
  <conditionalFormatting sqref="K259">
    <cfRule type="expression" dxfId="390" priority="661">
      <formula>($K259="")</formula>
    </cfRule>
  </conditionalFormatting>
  <conditionalFormatting sqref="K260">
    <cfRule type="expression" dxfId="389" priority="660">
      <formula>($K260="")</formula>
    </cfRule>
  </conditionalFormatting>
  <conditionalFormatting sqref="K261">
    <cfRule type="expression" dxfId="388" priority="659">
      <formula>($K261="")</formula>
    </cfRule>
  </conditionalFormatting>
  <conditionalFormatting sqref="K262">
    <cfRule type="expression" dxfId="387" priority="658">
      <formula>($K262="")</formula>
    </cfRule>
  </conditionalFormatting>
  <conditionalFormatting sqref="C269">
    <cfRule type="expression" dxfId="386" priority="657">
      <formula>($C269="")</formula>
    </cfRule>
  </conditionalFormatting>
  <conditionalFormatting sqref="C270">
    <cfRule type="expression" dxfId="385" priority="656">
      <formula>($C270="")</formula>
    </cfRule>
  </conditionalFormatting>
  <conditionalFormatting sqref="P267">
    <cfRule type="expression" dxfId="384" priority="655">
      <formula>($P267="")</formula>
    </cfRule>
  </conditionalFormatting>
  <conditionalFormatting sqref="P268">
    <cfRule type="expression" dxfId="383" priority="654">
      <formula>($P268="")</formula>
    </cfRule>
  </conditionalFormatting>
  <conditionalFormatting sqref="P269">
    <cfRule type="expression" dxfId="382" priority="653">
      <formula>($P269="")</formula>
    </cfRule>
  </conditionalFormatting>
  <conditionalFormatting sqref="P270">
    <cfRule type="expression" dxfId="381" priority="652">
      <formula>($P270="")</formula>
    </cfRule>
  </conditionalFormatting>
  <conditionalFormatting sqref="Q273">
    <cfRule type="expression" dxfId="380" priority="651">
      <formula>($Q273="√")</formula>
    </cfRule>
  </conditionalFormatting>
  <conditionalFormatting sqref="K277">
    <cfRule type="expression" dxfId="379" priority="650">
      <formula>($K277="")</formula>
    </cfRule>
  </conditionalFormatting>
  <conditionalFormatting sqref="C277">
    <cfRule type="expression" dxfId="378" priority="649">
      <formula>($C277="")</formula>
    </cfRule>
  </conditionalFormatting>
  <conditionalFormatting sqref="K278">
    <cfRule type="expression" dxfId="377" priority="647">
      <formula>($K278="")</formula>
    </cfRule>
  </conditionalFormatting>
  <conditionalFormatting sqref="G277">
    <cfRule type="expression" dxfId="376" priority="646">
      <formula>($G277="")</formula>
    </cfRule>
  </conditionalFormatting>
  <conditionalFormatting sqref="G278">
    <cfRule type="expression" dxfId="375" priority="645">
      <formula>($G278="")</formula>
    </cfRule>
  </conditionalFormatting>
  <conditionalFormatting sqref="Q207:Q208">
    <cfRule type="expression" dxfId="374" priority="630">
      <formula>($Q207="√")</formula>
    </cfRule>
  </conditionalFormatting>
  <conditionalFormatting sqref="Q208">
    <cfRule type="expression" dxfId="373" priority="629">
      <formula>($Q208="√")</formula>
    </cfRule>
  </conditionalFormatting>
  <conditionalFormatting sqref="Q207:Q208">
    <cfRule type="expression" dxfId="372" priority="628">
      <formula>($Q207="√")</formula>
    </cfRule>
  </conditionalFormatting>
  <conditionalFormatting sqref="P207">
    <cfRule type="expression" dxfId="371" priority="627">
      <formula>($P207="")</formula>
    </cfRule>
  </conditionalFormatting>
  <conditionalFormatting sqref="P208">
    <cfRule type="expression" dxfId="370" priority="626">
      <formula>($P208="")</formula>
    </cfRule>
  </conditionalFormatting>
  <conditionalFormatting sqref="K207">
    <cfRule type="expression" dxfId="369" priority="613">
      <formula>($K207="")</formula>
    </cfRule>
  </conditionalFormatting>
  <conditionalFormatting sqref="K208">
    <cfRule type="expression" dxfId="368" priority="612">
      <formula>($K208="")</formula>
    </cfRule>
  </conditionalFormatting>
  <conditionalFormatting sqref="C208">
    <cfRule type="expression" dxfId="367" priority="587">
      <formula>($C208="")</formula>
    </cfRule>
  </conditionalFormatting>
  <conditionalFormatting sqref="C207">
    <cfRule type="expression" dxfId="366" priority="586">
      <formula>($C207="")</formula>
    </cfRule>
  </conditionalFormatting>
  <conditionalFormatting sqref="P272">
    <cfRule type="expression" dxfId="365" priority="585">
      <formula>($P272="")</formula>
    </cfRule>
  </conditionalFormatting>
  <conditionalFormatting sqref="P273">
    <cfRule type="expression" dxfId="364" priority="584">
      <formula>($P273="")</formula>
    </cfRule>
  </conditionalFormatting>
  <conditionalFormatting sqref="P275">
    <cfRule type="expression" dxfId="363" priority="583">
      <formula>($P275="")</formula>
    </cfRule>
  </conditionalFormatting>
  <conditionalFormatting sqref="P276">
    <cfRule type="expression" dxfId="362" priority="582">
      <formula>($P276="")</formula>
    </cfRule>
  </conditionalFormatting>
  <conditionalFormatting sqref="P277">
    <cfRule type="expression" dxfId="361" priority="581">
      <formula>($P277="")</formula>
    </cfRule>
  </conditionalFormatting>
  <conditionalFormatting sqref="P278">
    <cfRule type="expression" dxfId="360" priority="580">
      <formula>($P278="")</formula>
    </cfRule>
  </conditionalFormatting>
  <conditionalFormatting sqref="H89">
    <cfRule type="expression" dxfId="359" priority="577">
      <formula>($H89="")</formula>
    </cfRule>
  </conditionalFormatting>
  <conditionalFormatting sqref="G69:G73">
    <cfRule type="expression" dxfId="358" priority="574">
      <formula>($G69="")</formula>
    </cfRule>
  </conditionalFormatting>
  <conditionalFormatting sqref="G89">
    <cfRule type="expression" dxfId="357" priority="572">
      <formula>($G89="")</formula>
    </cfRule>
  </conditionalFormatting>
  <conditionalFormatting sqref="F89">
    <cfRule type="expression" dxfId="356" priority="543">
      <formula>($F89="")</formula>
    </cfRule>
  </conditionalFormatting>
  <conditionalFormatting sqref="F77">
    <cfRule type="expression" dxfId="355" priority="542">
      <formula>($F77="")</formula>
    </cfRule>
  </conditionalFormatting>
  <conditionalFormatting sqref="F87">
    <cfRule type="expression" dxfId="354" priority="540">
      <formula>($F87="")</formula>
    </cfRule>
  </conditionalFormatting>
  <conditionalFormatting sqref="F138:F152">
    <cfRule type="expression" dxfId="353" priority="539">
      <formula>($F138="")</formula>
    </cfRule>
  </conditionalFormatting>
  <conditionalFormatting sqref="F154:F158">
    <cfRule type="expression" dxfId="352" priority="538">
      <formula>($F154="")</formula>
    </cfRule>
  </conditionalFormatting>
  <conditionalFormatting sqref="F162:F166">
    <cfRule type="expression" dxfId="351" priority="537">
      <formula>($F162="")</formula>
    </cfRule>
  </conditionalFormatting>
  <conditionalFormatting sqref="F168:F172">
    <cfRule type="expression" dxfId="350" priority="536">
      <formula>($F168="")</formula>
    </cfRule>
  </conditionalFormatting>
  <conditionalFormatting sqref="E25">
    <cfRule type="expression" dxfId="349" priority="535">
      <formula>($E25="")</formula>
    </cfRule>
  </conditionalFormatting>
  <conditionalFormatting sqref="E26">
    <cfRule type="expression" dxfId="348" priority="534">
      <formula>($E26="")</formula>
    </cfRule>
  </conditionalFormatting>
  <conditionalFormatting sqref="E27">
    <cfRule type="expression" dxfId="347" priority="533">
      <formula>($E27="")</formula>
    </cfRule>
  </conditionalFormatting>
  <conditionalFormatting sqref="E28:E36">
    <cfRule type="expression" dxfId="346" priority="532">
      <formula>($E28="")</formula>
    </cfRule>
  </conditionalFormatting>
  <conditionalFormatting sqref="E37">
    <cfRule type="expression" dxfId="345" priority="531">
      <formula>($E37="")</formula>
    </cfRule>
  </conditionalFormatting>
  <conditionalFormatting sqref="E38">
    <cfRule type="expression" dxfId="344" priority="530">
      <formula>($E38="")</formula>
    </cfRule>
  </conditionalFormatting>
  <conditionalFormatting sqref="E39">
    <cfRule type="expression" dxfId="343" priority="529">
      <formula>($E39="")</formula>
    </cfRule>
  </conditionalFormatting>
  <conditionalFormatting sqref="E40">
    <cfRule type="expression" dxfId="342" priority="528">
      <formula>($E40="")</formula>
    </cfRule>
  </conditionalFormatting>
  <conditionalFormatting sqref="E41">
    <cfRule type="expression" dxfId="341" priority="527">
      <formula>($E41="")</formula>
    </cfRule>
  </conditionalFormatting>
  <conditionalFormatting sqref="E42">
    <cfRule type="expression" dxfId="340" priority="526">
      <formula>($E42="")</formula>
    </cfRule>
  </conditionalFormatting>
  <conditionalFormatting sqref="E43">
    <cfRule type="expression" dxfId="339" priority="525">
      <formula>($E43="")</formula>
    </cfRule>
  </conditionalFormatting>
  <conditionalFormatting sqref="E61">
    <cfRule type="expression" dxfId="338" priority="520">
      <formula>($E61="")</formula>
    </cfRule>
  </conditionalFormatting>
  <conditionalFormatting sqref="E62">
    <cfRule type="expression" dxfId="337" priority="519">
      <formula>($E62="")</formula>
    </cfRule>
  </conditionalFormatting>
  <conditionalFormatting sqref="E63">
    <cfRule type="expression" dxfId="336" priority="518">
      <formula>($E63="")</formula>
    </cfRule>
  </conditionalFormatting>
  <conditionalFormatting sqref="E64">
    <cfRule type="expression" dxfId="335" priority="517">
      <formula>($E64="")</formula>
    </cfRule>
  </conditionalFormatting>
  <conditionalFormatting sqref="E65">
    <cfRule type="expression" dxfId="334" priority="516">
      <formula>($E65="")</formula>
    </cfRule>
  </conditionalFormatting>
  <conditionalFormatting sqref="E66">
    <cfRule type="expression" dxfId="333" priority="515">
      <formula>($E66="")</formula>
    </cfRule>
  </conditionalFormatting>
  <conditionalFormatting sqref="E67">
    <cfRule type="expression" dxfId="332" priority="514">
      <formula>($E67="")</formula>
    </cfRule>
  </conditionalFormatting>
  <conditionalFormatting sqref="E69:E73">
    <cfRule type="expression" dxfId="331" priority="513">
      <formula>($E69="")</formula>
    </cfRule>
  </conditionalFormatting>
  <conditionalFormatting sqref="E76">
    <cfRule type="expression" dxfId="330" priority="512">
      <formula>($E76="")</formula>
    </cfRule>
  </conditionalFormatting>
  <conditionalFormatting sqref="E77">
    <cfRule type="expression" dxfId="329" priority="511">
      <formula>($E77="")</formula>
    </cfRule>
  </conditionalFormatting>
  <conditionalFormatting sqref="E87">
    <cfRule type="expression" dxfId="328" priority="509">
      <formula>($E87="")</formula>
    </cfRule>
  </conditionalFormatting>
  <conditionalFormatting sqref="E89">
    <cfRule type="expression" dxfId="327" priority="508">
      <formula>($E89="")</formula>
    </cfRule>
  </conditionalFormatting>
  <conditionalFormatting sqref="E138">
    <cfRule type="expression" dxfId="326" priority="506">
      <formula>($E138="")</formula>
    </cfRule>
  </conditionalFormatting>
  <conditionalFormatting sqref="E139">
    <cfRule type="expression" dxfId="325" priority="505">
      <formula>($E139="")</formula>
    </cfRule>
  </conditionalFormatting>
  <conditionalFormatting sqref="E140:E148">
    <cfRule type="expression" dxfId="324" priority="504">
      <formula>($E140="")</formula>
    </cfRule>
  </conditionalFormatting>
  <conditionalFormatting sqref="E149">
    <cfRule type="expression" dxfId="323" priority="503">
      <formula>($E149="")</formula>
    </cfRule>
  </conditionalFormatting>
  <conditionalFormatting sqref="E150">
    <cfRule type="expression" dxfId="322" priority="502">
      <formula>($E150="")</formula>
    </cfRule>
  </conditionalFormatting>
  <conditionalFormatting sqref="E151">
    <cfRule type="expression" dxfId="321" priority="501">
      <formula>($E151="")</formula>
    </cfRule>
  </conditionalFormatting>
  <conditionalFormatting sqref="E152">
    <cfRule type="expression" dxfId="320" priority="500">
      <formula>($E152="")</formula>
    </cfRule>
  </conditionalFormatting>
  <conditionalFormatting sqref="E154:E157">
    <cfRule type="expression" dxfId="319" priority="499">
      <formula>($E154="")</formula>
    </cfRule>
  </conditionalFormatting>
  <conditionalFormatting sqref="E158">
    <cfRule type="expression" dxfId="318" priority="498">
      <formula>($E158="")</formula>
    </cfRule>
  </conditionalFormatting>
  <conditionalFormatting sqref="E162:E165">
    <cfRule type="expression" dxfId="317" priority="497">
      <formula>($E162="")</formula>
    </cfRule>
  </conditionalFormatting>
  <conditionalFormatting sqref="E166">
    <cfRule type="expression" dxfId="316" priority="496">
      <formula>($E166="")</formula>
    </cfRule>
  </conditionalFormatting>
  <conditionalFormatting sqref="E168:E171">
    <cfRule type="expression" dxfId="315" priority="495">
      <formula>($E168="")</formula>
    </cfRule>
  </conditionalFormatting>
  <conditionalFormatting sqref="E172">
    <cfRule type="expression" dxfId="314" priority="494">
      <formula>($E172="")</formula>
    </cfRule>
  </conditionalFormatting>
  <conditionalFormatting sqref="C13">
    <cfRule type="expression" dxfId="313" priority="493">
      <formula>($C13="")</formula>
    </cfRule>
  </conditionalFormatting>
  <conditionalFormatting sqref="C246">
    <cfRule type="expression" dxfId="312" priority="492">
      <formula>($C246="")</formula>
    </cfRule>
  </conditionalFormatting>
  <conditionalFormatting sqref="Q279:Q282">
    <cfRule type="expression" dxfId="311" priority="491">
      <formula>($Q279="√")</formula>
    </cfRule>
  </conditionalFormatting>
  <conditionalFormatting sqref="Q251:Q253">
    <cfRule type="expression" dxfId="310" priority="490">
      <formula>($Q251="V")</formula>
    </cfRule>
  </conditionalFormatting>
  <conditionalFormatting sqref="Q250">
    <cfRule type="expression" dxfId="309" priority="481">
      <formula>($Q250="√")</formula>
    </cfRule>
  </conditionalFormatting>
  <conditionalFormatting sqref="C249">
    <cfRule type="expression" dxfId="308" priority="480">
      <formula>($C249="")</formula>
    </cfRule>
  </conditionalFormatting>
  <conditionalFormatting sqref="C278">
    <cfRule type="expression" dxfId="307" priority="479">
      <formula>($C278="")</formula>
    </cfRule>
  </conditionalFormatting>
  <conditionalFormatting sqref="K407">
    <cfRule type="expression" dxfId="306" priority="467">
      <formula>($K407="")</formula>
    </cfRule>
  </conditionalFormatting>
  <conditionalFormatting sqref="N398">
    <cfRule type="expression" dxfId="305" priority="466">
      <formula>($N398="")</formula>
    </cfRule>
  </conditionalFormatting>
  <conditionalFormatting sqref="N399">
    <cfRule type="expression" dxfId="304" priority="465">
      <formula>($N399="")</formula>
    </cfRule>
  </conditionalFormatting>
  <conditionalFormatting sqref="N400">
    <cfRule type="expression" dxfId="303" priority="464">
      <formula>($N400="")</formula>
    </cfRule>
  </conditionalFormatting>
  <conditionalFormatting sqref="N401">
    <cfRule type="expression" dxfId="302" priority="463">
      <formula>($N401="")</formula>
    </cfRule>
  </conditionalFormatting>
  <conditionalFormatting sqref="N402">
    <cfRule type="expression" dxfId="301" priority="462">
      <formula>($N402="")</formula>
    </cfRule>
  </conditionalFormatting>
  <conditionalFormatting sqref="N403">
    <cfRule type="expression" dxfId="300" priority="461">
      <formula>($N403="")</formula>
    </cfRule>
  </conditionalFormatting>
  <conditionalFormatting sqref="N404">
    <cfRule type="expression" dxfId="299" priority="460">
      <formula>($N404="")</formula>
    </cfRule>
  </conditionalFormatting>
  <conditionalFormatting sqref="N405">
    <cfRule type="expression" dxfId="298" priority="459">
      <formula>($N405="")</formula>
    </cfRule>
  </conditionalFormatting>
  <conditionalFormatting sqref="P20:P22">
    <cfRule type="expression" dxfId="297" priority="457">
      <formula>($P20="")</formula>
    </cfRule>
  </conditionalFormatting>
  <conditionalFormatting sqref="P24">
    <cfRule type="expression" dxfId="296" priority="456">
      <formula>($P24="")</formula>
    </cfRule>
  </conditionalFormatting>
  <conditionalFormatting sqref="P25">
    <cfRule type="expression" dxfId="295" priority="455">
      <formula>($P25="")</formula>
    </cfRule>
  </conditionalFormatting>
  <conditionalFormatting sqref="P26">
    <cfRule type="expression" dxfId="294" priority="454">
      <formula>($P26="")</formula>
    </cfRule>
  </conditionalFormatting>
  <conditionalFormatting sqref="P27">
    <cfRule type="expression" dxfId="293" priority="453">
      <formula>($P27="")</formula>
    </cfRule>
  </conditionalFormatting>
  <conditionalFormatting sqref="P28:P36">
    <cfRule type="expression" dxfId="292" priority="452">
      <formula>($P28="")</formula>
    </cfRule>
  </conditionalFormatting>
  <conditionalFormatting sqref="P37">
    <cfRule type="expression" dxfId="291" priority="451">
      <formula>($P37="")</formula>
    </cfRule>
  </conditionalFormatting>
  <conditionalFormatting sqref="P38">
    <cfRule type="expression" dxfId="290" priority="450">
      <formula>($P38="")</formula>
    </cfRule>
  </conditionalFormatting>
  <conditionalFormatting sqref="P39">
    <cfRule type="expression" dxfId="289" priority="449">
      <formula>($P39="")</formula>
    </cfRule>
  </conditionalFormatting>
  <conditionalFormatting sqref="P40">
    <cfRule type="expression" dxfId="288" priority="448">
      <formula>($P40="")</formula>
    </cfRule>
  </conditionalFormatting>
  <conditionalFormatting sqref="P41">
    <cfRule type="expression" dxfId="287" priority="447">
      <formula>($P41="")</formula>
    </cfRule>
  </conditionalFormatting>
  <conditionalFormatting sqref="P42">
    <cfRule type="expression" dxfId="286" priority="446">
      <formula>($P42="")</formula>
    </cfRule>
  </conditionalFormatting>
  <conditionalFormatting sqref="P43">
    <cfRule type="expression" dxfId="285" priority="445">
      <formula>($P43="")</formula>
    </cfRule>
  </conditionalFormatting>
  <conditionalFormatting sqref="P61">
    <cfRule type="expression" dxfId="284" priority="440">
      <formula>($P61="")</formula>
    </cfRule>
  </conditionalFormatting>
  <conditionalFormatting sqref="P62">
    <cfRule type="expression" dxfId="283" priority="439">
      <formula>($P62="")</formula>
    </cfRule>
  </conditionalFormatting>
  <conditionalFormatting sqref="P63">
    <cfRule type="expression" dxfId="282" priority="438">
      <formula>($P63="")</formula>
    </cfRule>
  </conditionalFormatting>
  <conditionalFormatting sqref="P64">
    <cfRule type="expression" dxfId="281" priority="437">
      <formula>($P64="")</formula>
    </cfRule>
  </conditionalFormatting>
  <conditionalFormatting sqref="P65">
    <cfRule type="expression" dxfId="280" priority="436">
      <formula>($P65="")</formula>
    </cfRule>
  </conditionalFormatting>
  <conditionalFormatting sqref="P66">
    <cfRule type="expression" dxfId="279" priority="435">
      <formula>($P66="")</formula>
    </cfRule>
  </conditionalFormatting>
  <conditionalFormatting sqref="P67">
    <cfRule type="expression" dxfId="278" priority="434">
      <formula>($P67="")</formula>
    </cfRule>
  </conditionalFormatting>
  <conditionalFormatting sqref="P69:P73">
    <cfRule type="expression" dxfId="277" priority="433">
      <formula>($P69="")</formula>
    </cfRule>
  </conditionalFormatting>
  <conditionalFormatting sqref="P76">
    <cfRule type="expression" dxfId="276" priority="432">
      <formula>($P76="")</formula>
    </cfRule>
  </conditionalFormatting>
  <conditionalFormatting sqref="P77">
    <cfRule type="expression" dxfId="275" priority="431">
      <formula>($P77="")</formula>
    </cfRule>
  </conditionalFormatting>
  <conditionalFormatting sqref="P87">
    <cfRule type="expression" dxfId="274" priority="429">
      <formula>($P87="")</formula>
    </cfRule>
  </conditionalFormatting>
  <conditionalFormatting sqref="K87">
    <cfRule type="expression" dxfId="273" priority="427">
      <formula>($K87="")</formula>
    </cfRule>
  </conditionalFormatting>
  <conditionalFormatting sqref="H77">
    <cfRule type="expression" dxfId="272" priority="426">
      <formula>($H77="")</formula>
    </cfRule>
  </conditionalFormatting>
  <conditionalFormatting sqref="C77">
    <cfRule type="expression" dxfId="271" priority="421">
      <formula>($C77="")</formula>
    </cfRule>
  </conditionalFormatting>
  <conditionalFormatting sqref="D78:D86 D50:D54 D216 D45:D48 D135:D136 D20:D22">
    <cfRule type="expression" dxfId="270" priority="420">
      <formula>($D20="")</formula>
    </cfRule>
  </conditionalFormatting>
  <conditionalFormatting sqref="D24">
    <cfRule type="expression" dxfId="269" priority="419">
      <formula>($D24="")</formula>
    </cfRule>
  </conditionalFormatting>
  <conditionalFormatting sqref="D25">
    <cfRule type="expression" dxfId="268" priority="418">
      <formula>($D25="")</formula>
    </cfRule>
  </conditionalFormatting>
  <conditionalFormatting sqref="D26">
    <cfRule type="expression" dxfId="267" priority="417">
      <formula>($D26="")</formula>
    </cfRule>
  </conditionalFormatting>
  <conditionalFormatting sqref="D27">
    <cfRule type="expression" dxfId="266" priority="416">
      <formula>($D27="")</formula>
    </cfRule>
  </conditionalFormatting>
  <conditionalFormatting sqref="D28:D36">
    <cfRule type="expression" dxfId="265" priority="415">
      <formula>($D28="")</formula>
    </cfRule>
  </conditionalFormatting>
  <conditionalFormatting sqref="D37">
    <cfRule type="expression" dxfId="264" priority="414">
      <formula>($D37="")</formula>
    </cfRule>
  </conditionalFormatting>
  <conditionalFormatting sqref="D38">
    <cfRule type="expression" dxfId="263" priority="413">
      <formula>($D38="")</formula>
    </cfRule>
  </conditionalFormatting>
  <conditionalFormatting sqref="D39">
    <cfRule type="expression" dxfId="262" priority="412">
      <formula>($D39="")</formula>
    </cfRule>
  </conditionalFormatting>
  <conditionalFormatting sqref="D40">
    <cfRule type="expression" dxfId="261" priority="411">
      <formula>($D40="")</formula>
    </cfRule>
  </conditionalFormatting>
  <conditionalFormatting sqref="D41">
    <cfRule type="expression" dxfId="260" priority="410">
      <formula>($D41="")</formula>
    </cfRule>
  </conditionalFormatting>
  <conditionalFormatting sqref="D42">
    <cfRule type="expression" dxfId="259" priority="409">
      <formula>($D42="")</formula>
    </cfRule>
  </conditionalFormatting>
  <conditionalFormatting sqref="D43">
    <cfRule type="expression" dxfId="258" priority="408">
      <formula>($D43="")</formula>
    </cfRule>
  </conditionalFormatting>
  <conditionalFormatting sqref="D61">
    <cfRule type="expression" dxfId="257" priority="403">
      <formula>($D61="")</formula>
    </cfRule>
  </conditionalFormatting>
  <conditionalFormatting sqref="D62">
    <cfRule type="expression" dxfId="256" priority="402">
      <formula>($D62="")</formula>
    </cfRule>
  </conditionalFormatting>
  <conditionalFormatting sqref="D63">
    <cfRule type="expression" dxfId="255" priority="401">
      <formula>($D63="")</formula>
    </cfRule>
  </conditionalFormatting>
  <conditionalFormatting sqref="D64">
    <cfRule type="expression" dxfId="254" priority="400">
      <formula>($D64="")</formula>
    </cfRule>
  </conditionalFormatting>
  <conditionalFormatting sqref="D65">
    <cfRule type="expression" dxfId="253" priority="399">
      <formula>($D65="")</formula>
    </cfRule>
  </conditionalFormatting>
  <conditionalFormatting sqref="D66">
    <cfRule type="expression" dxfId="252" priority="398">
      <formula>($D66="")</formula>
    </cfRule>
  </conditionalFormatting>
  <conditionalFormatting sqref="D67">
    <cfRule type="expression" dxfId="251" priority="397">
      <formula>($D67="")</formula>
    </cfRule>
  </conditionalFormatting>
  <conditionalFormatting sqref="D69:D73">
    <cfRule type="expression" dxfId="250" priority="396">
      <formula>($D69="")</formula>
    </cfRule>
  </conditionalFormatting>
  <conditionalFormatting sqref="D76">
    <cfRule type="expression" dxfId="249" priority="395">
      <formula>($D76="")</formula>
    </cfRule>
  </conditionalFormatting>
  <conditionalFormatting sqref="D77">
    <cfRule type="expression" dxfId="248" priority="394">
      <formula>($D77="")</formula>
    </cfRule>
  </conditionalFormatting>
  <conditionalFormatting sqref="D87">
    <cfRule type="expression" dxfId="247" priority="392">
      <formula>($D87="")</formula>
    </cfRule>
  </conditionalFormatting>
  <conditionalFormatting sqref="D138">
    <cfRule type="expression" dxfId="246" priority="390">
      <formula>($D138="")</formula>
    </cfRule>
  </conditionalFormatting>
  <conditionalFormatting sqref="D139">
    <cfRule type="expression" dxfId="245" priority="389">
      <formula>($D139="")</formula>
    </cfRule>
  </conditionalFormatting>
  <conditionalFormatting sqref="D140:D148">
    <cfRule type="expression" dxfId="244" priority="388">
      <formula>($D140="")</formula>
    </cfRule>
  </conditionalFormatting>
  <conditionalFormatting sqref="D149">
    <cfRule type="expression" dxfId="243" priority="387">
      <formula>($D149="")</formula>
    </cfRule>
  </conditionalFormatting>
  <conditionalFormatting sqref="D150">
    <cfRule type="expression" dxfId="242" priority="386">
      <formula>($D150="")</formula>
    </cfRule>
  </conditionalFormatting>
  <conditionalFormatting sqref="D151">
    <cfRule type="expression" dxfId="241" priority="385">
      <formula>($D151="")</formula>
    </cfRule>
  </conditionalFormatting>
  <conditionalFormatting sqref="D152">
    <cfRule type="expression" dxfId="240" priority="384">
      <formula>($D152="")</formula>
    </cfRule>
  </conditionalFormatting>
  <conditionalFormatting sqref="D154:D157">
    <cfRule type="expression" dxfId="239" priority="383">
      <formula>($D154="")</formula>
    </cfRule>
  </conditionalFormatting>
  <conditionalFormatting sqref="D158">
    <cfRule type="expression" dxfId="238" priority="382">
      <formula>($D158="")</formula>
    </cfRule>
  </conditionalFormatting>
  <conditionalFormatting sqref="D162:D165">
    <cfRule type="expression" dxfId="237" priority="381">
      <formula>($D162="")</formula>
    </cfRule>
  </conditionalFormatting>
  <conditionalFormatting sqref="D166">
    <cfRule type="expression" dxfId="236" priority="380">
      <formula>($D166="")</formula>
    </cfRule>
  </conditionalFormatting>
  <conditionalFormatting sqref="D168:D171">
    <cfRule type="expression" dxfId="235" priority="379">
      <formula>($D168="")</formula>
    </cfRule>
  </conditionalFormatting>
  <conditionalFormatting sqref="D172">
    <cfRule type="expression" dxfId="234" priority="378">
      <formula>($D172="")</formula>
    </cfRule>
  </conditionalFormatting>
  <conditionalFormatting sqref="D207">
    <cfRule type="expression" dxfId="233" priority="377">
      <formula>($D207="")</formula>
    </cfRule>
  </conditionalFormatting>
  <conditionalFormatting sqref="D208">
    <cfRule type="expression" dxfId="232" priority="376">
      <formula>($D208="")</formula>
    </cfRule>
  </conditionalFormatting>
  <conditionalFormatting sqref="D210">
    <cfRule type="expression" dxfId="231" priority="375">
      <formula>($D210="")</formula>
    </cfRule>
  </conditionalFormatting>
  <conditionalFormatting sqref="D211">
    <cfRule type="expression" dxfId="230" priority="374">
      <formula>($D211="")</formula>
    </cfRule>
  </conditionalFormatting>
  <conditionalFormatting sqref="D213:D214">
    <cfRule type="expression" dxfId="229" priority="373">
      <formula>($D213="")</formula>
    </cfRule>
  </conditionalFormatting>
  <conditionalFormatting sqref="D232">
    <cfRule type="expression" dxfId="228" priority="371">
      <formula>($D232="")</formula>
    </cfRule>
  </conditionalFormatting>
  <conditionalFormatting sqref="D233">
    <cfRule type="expression" dxfId="227" priority="370">
      <formula>($D233="")</formula>
    </cfRule>
  </conditionalFormatting>
  <conditionalFormatting sqref="D234">
    <cfRule type="expression" dxfId="226" priority="369">
      <formula>($D234="")</formula>
    </cfRule>
  </conditionalFormatting>
  <conditionalFormatting sqref="D235">
    <cfRule type="expression" dxfId="225" priority="368">
      <formula>($D235="")</formula>
    </cfRule>
  </conditionalFormatting>
  <conditionalFormatting sqref="D241">
    <cfRule type="expression" dxfId="224" priority="367">
      <formula>($D241="")</formula>
    </cfRule>
  </conditionalFormatting>
  <conditionalFormatting sqref="D242">
    <cfRule type="expression" dxfId="223" priority="366">
      <formula>($D242="")</formula>
    </cfRule>
  </conditionalFormatting>
  <conditionalFormatting sqref="D243">
    <cfRule type="expression" dxfId="222" priority="365">
      <formula>($D243="")</formula>
    </cfRule>
  </conditionalFormatting>
  <conditionalFormatting sqref="D244">
    <cfRule type="expression" dxfId="221" priority="364">
      <formula>($D244="")</formula>
    </cfRule>
  </conditionalFormatting>
  <conditionalFormatting sqref="D246">
    <cfRule type="expression" dxfId="220" priority="363">
      <formula>($D246="")</formula>
    </cfRule>
  </conditionalFormatting>
  <conditionalFormatting sqref="D247">
    <cfRule type="expression" dxfId="219" priority="362">
      <formula>($D247="")</formula>
    </cfRule>
  </conditionalFormatting>
  <conditionalFormatting sqref="D248">
    <cfRule type="expression" dxfId="218" priority="361">
      <formula>($D248="")</formula>
    </cfRule>
  </conditionalFormatting>
  <conditionalFormatting sqref="D249">
    <cfRule type="expression" dxfId="217" priority="360">
      <formula>($D249="")</formula>
    </cfRule>
  </conditionalFormatting>
  <conditionalFormatting sqref="D255">
    <cfRule type="expression" dxfId="216" priority="359">
      <formula>($D255="")</formula>
    </cfRule>
  </conditionalFormatting>
  <conditionalFormatting sqref="D256">
    <cfRule type="expression" dxfId="215" priority="358">
      <formula>($D256="")</formula>
    </cfRule>
  </conditionalFormatting>
  <conditionalFormatting sqref="D257">
    <cfRule type="expression" dxfId="214" priority="357">
      <formula>($D257="")</formula>
    </cfRule>
  </conditionalFormatting>
  <conditionalFormatting sqref="D258">
    <cfRule type="expression" dxfId="213" priority="356">
      <formula>($D258="")</formula>
    </cfRule>
  </conditionalFormatting>
  <conditionalFormatting sqref="D259">
    <cfRule type="expression" dxfId="212" priority="355">
      <formula>($D259="")</formula>
    </cfRule>
  </conditionalFormatting>
  <conditionalFormatting sqref="D260">
    <cfRule type="expression" dxfId="211" priority="354">
      <formula>($D260="")</formula>
    </cfRule>
  </conditionalFormatting>
  <conditionalFormatting sqref="D261">
    <cfRule type="expression" dxfId="210" priority="353">
      <formula>($D261="")</formula>
    </cfRule>
  </conditionalFormatting>
  <conditionalFormatting sqref="D262">
    <cfRule type="expression" dxfId="209" priority="352">
      <formula>($D262="")</formula>
    </cfRule>
  </conditionalFormatting>
  <conditionalFormatting sqref="D268">
    <cfRule type="expression" dxfId="208" priority="350">
      <formula>($D268="")</formula>
    </cfRule>
  </conditionalFormatting>
  <conditionalFormatting sqref="D269">
    <cfRule type="expression" dxfId="207" priority="349">
      <formula>($D269="")</formula>
    </cfRule>
  </conditionalFormatting>
  <conditionalFormatting sqref="D270">
    <cfRule type="expression" dxfId="206" priority="348">
      <formula>($D270="")</formula>
    </cfRule>
  </conditionalFormatting>
  <conditionalFormatting sqref="D272">
    <cfRule type="expression" dxfId="205" priority="347">
      <formula>($D272="")</formula>
    </cfRule>
  </conditionalFormatting>
  <conditionalFormatting sqref="D273">
    <cfRule type="expression" dxfId="204" priority="346">
      <formula>($D273="")</formula>
    </cfRule>
  </conditionalFormatting>
  <conditionalFormatting sqref="D275">
    <cfRule type="expression" dxfId="203" priority="345">
      <formula>($D275="")</formula>
    </cfRule>
  </conditionalFormatting>
  <conditionalFormatting sqref="D276">
    <cfRule type="expression" dxfId="202" priority="344">
      <formula>($D276="")</formula>
    </cfRule>
  </conditionalFormatting>
  <conditionalFormatting sqref="D277">
    <cfRule type="expression" dxfId="201" priority="343">
      <formula>($D277="")</formula>
    </cfRule>
  </conditionalFormatting>
  <conditionalFormatting sqref="D278">
    <cfRule type="expression" dxfId="200" priority="342">
      <formula>($D278="")</formula>
    </cfRule>
  </conditionalFormatting>
  <conditionalFormatting sqref="D284">
    <cfRule type="expression" dxfId="199" priority="341">
      <formula>($D284="")</formula>
    </cfRule>
  </conditionalFormatting>
  <conditionalFormatting sqref="D285">
    <cfRule type="expression" dxfId="198" priority="340">
      <formula>($D285="")</formula>
    </cfRule>
  </conditionalFormatting>
  <conditionalFormatting sqref="D286">
    <cfRule type="expression" dxfId="197" priority="339">
      <formula>($D286="")</formula>
    </cfRule>
  </conditionalFormatting>
  <conditionalFormatting sqref="D287">
    <cfRule type="expression" dxfId="196" priority="338">
      <formula>($D287="")</formula>
    </cfRule>
  </conditionalFormatting>
  <conditionalFormatting sqref="D288">
    <cfRule type="expression" dxfId="195" priority="337">
      <formula>($D288="")</formula>
    </cfRule>
  </conditionalFormatting>
  <conditionalFormatting sqref="D289">
    <cfRule type="expression" dxfId="194" priority="336">
      <formula>($D289="")</formula>
    </cfRule>
  </conditionalFormatting>
  <conditionalFormatting sqref="G86">
    <cfRule type="expression" dxfId="193" priority="1228">
      <formula>($G89="")</formula>
    </cfRule>
  </conditionalFormatting>
  <conditionalFormatting sqref="G85">
    <cfRule type="expression" dxfId="192" priority="1230">
      <formula>($G89="")</formula>
    </cfRule>
  </conditionalFormatting>
  <conditionalFormatting sqref="G84">
    <cfRule type="expression" dxfId="191" priority="1231">
      <formula>($G89="")</formula>
    </cfRule>
  </conditionalFormatting>
  <conditionalFormatting sqref="G83">
    <cfRule type="expression" dxfId="190" priority="1232">
      <formula>($G89="")</formula>
    </cfRule>
  </conditionalFormatting>
  <conditionalFormatting sqref="G82">
    <cfRule type="expression" dxfId="189" priority="1233">
      <formula>($G89="")</formula>
    </cfRule>
  </conditionalFormatting>
  <conditionalFormatting sqref="G81">
    <cfRule type="expression" dxfId="188" priority="1234">
      <formula>($G89="")</formula>
    </cfRule>
  </conditionalFormatting>
  <conditionalFormatting sqref="G80">
    <cfRule type="expression" dxfId="187" priority="1235">
      <formula>($G89="")</formula>
    </cfRule>
  </conditionalFormatting>
  <conditionalFormatting sqref="G77:G79">
    <cfRule type="expression" dxfId="186" priority="1236">
      <formula>($G87="")</formula>
    </cfRule>
  </conditionalFormatting>
  <conditionalFormatting sqref="C217 C219:C220">
    <cfRule type="expression" dxfId="185" priority="328">
      <formula>($C217="")</formula>
    </cfRule>
  </conditionalFormatting>
  <conditionalFormatting sqref="Q217 Q219:Q220">
    <cfRule type="expression" dxfId="184" priority="326">
      <formula>($Q217="√")</formula>
    </cfRule>
  </conditionalFormatting>
  <conditionalFormatting sqref="C217 C219:C220">
    <cfRule type="expression" dxfId="183" priority="322">
      <formula>($C217="")</formula>
    </cfRule>
  </conditionalFormatting>
  <conditionalFormatting sqref="Q217 Q219:Q220">
    <cfRule type="expression" dxfId="182" priority="321">
      <formula>($Q217="V")</formula>
    </cfRule>
  </conditionalFormatting>
  <conditionalFormatting sqref="C217 C219:C220">
    <cfRule type="expression" dxfId="181" priority="318">
      <formula>($C217="")</formula>
    </cfRule>
  </conditionalFormatting>
  <conditionalFormatting sqref="Q217 Q219:Q220">
    <cfRule type="expression" dxfId="180" priority="317">
      <formula>($Q217="V")</formula>
    </cfRule>
  </conditionalFormatting>
  <conditionalFormatting sqref="C217 C219:C220">
    <cfRule type="expression" dxfId="179" priority="316">
      <formula>($C217="")</formula>
    </cfRule>
  </conditionalFormatting>
  <conditionalFormatting sqref="Q217 Q219:Q220">
    <cfRule type="expression" dxfId="178" priority="315">
      <formula>($Q217="V")</formula>
    </cfRule>
  </conditionalFormatting>
  <conditionalFormatting sqref="K232">
    <cfRule type="expression" dxfId="177" priority="313">
      <formula>($K232="")</formula>
    </cfRule>
  </conditionalFormatting>
  <conditionalFormatting sqref="K284">
    <cfRule type="expression" dxfId="176" priority="291">
      <formula>($K284="")</formula>
    </cfRule>
  </conditionalFormatting>
  <conditionalFormatting sqref="C217">
    <cfRule type="expression" dxfId="175" priority="240">
      <formula>($C217="")</formula>
    </cfRule>
  </conditionalFormatting>
  <conditionalFormatting sqref="G217">
    <cfRule type="expression" dxfId="174" priority="239">
      <formula>($G217="")</formula>
    </cfRule>
  </conditionalFormatting>
  <conditionalFormatting sqref="Q217">
    <cfRule type="expression" dxfId="173" priority="238">
      <formula>($Q217="√")</formula>
    </cfRule>
  </conditionalFormatting>
  <conditionalFormatting sqref="C219">
    <cfRule type="expression" dxfId="172" priority="237">
      <formula>($C219="")</formula>
    </cfRule>
  </conditionalFormatting>
  <conditionalFormatting sqref="G219">
    <cfRule type="expression" dxfId="171" priority="236">
      <formula>($G219="")</formula>
    </cfRule>
  </conditionalFormatting>
  <conditionalFormatting sqref="P217">
    <cfRule type="expression" dxfId="170" priority="235">
      <formula>($P217="")</formula>
    </cfRule>
  </conditionalFormatting>
  <conditionalFormatting sqref="Q217">
    <cfRule type="expression" dxfId="169" priority="234">
      <formula>($Q217="√")</formula>
    </cfRule>
  </conditionalFormatting>
  <conditionalFormatting sqref="Q219:Q220">
    <cfRule type="expression" dxfId="168" priority="233">
      <formula>($Q219="√")</formula>
    </cfRule>
  </conditionalFormatting>
  <conditionalFormatting sqref="P219">
    <cfRule type="expression" dxfId="167" priority="231">
      <formula>($P219="")</formula>
    </cfRule>
  </conditionalFormatting>
  <conditionalFormatting sqref="D217">
    <cfRule type="expression" dxfId="166" priority="229">
      <formula>($D217="")</formula>
    </cfRule>
  </conditionalFormatting>
  <conditionalFormatting sqref="D219">
    <cfRule type="expression" dxfId="165" priority="228">
      <formula>($D219="")</formula>
    </cfRule>
  </conditionalFormatting>
  <conditionalFormatting sqref="P13">
    <cfRule type="expression" dxfId="164" priority="226">
      <formula>($P13="")</formula>
    </cfRule>
  </conditionalFormatting>
  <conditionalFormatting sqref="P11:Q11 P12">
    <cfRule type="containsBlanks" dxfId="163" priority="225">
      <formula>LEN(TRIM(P11))=0</formula>
    </cfRule>
  </conditionalFormatting>
  <conditionalFormatting sqref="D220">
    <cfRule type="expression" dxfId="162" priority="224">
      <formula>($D220="")</formula>
    </cfRule>
  </conditionalFormatting>
  <conditionalFormatting sqref="G210">
    <cfRule type="expression" dxfId="161" priority="221">
      <formula>($G210="")</formula>
    </cfRule>
  </conditionalFormatting>
  <conditionalFormatting sqref="G214">
    <cfRule type="expression" dxfId="160" priority="220">
      <formula>($G214="")</formula>
    </cfRule>
  </conditionalFormatting>
  <conditionalFormatting sqref="G208">
    <cfRule type="expression" dxfId="159" priority="219">
      <formula>($G208="")</formula>
    </cfRule>
  </conditionalFormatting>
  <conditionalFormatting sqref="G207">
    <cfRule type="expression" dxfId="158" priority="218">
      <formula>($G207="")</formula>
    </cfRule>
  </conditionalFormatting>
  <conditionalFormatting sqref="G220">
    <cfRule type="expression" dxfId="157" priority="217">
      <formula>($G220="")</formula>
    </cfRule>
  </conditionalFormatting>
  <conditionalFormatting sqref="G244">
    <cfRule type="expression" dxfId="156" priority="215">
      <formula>($G244="")</formula>
    </cfRule>
  </conditionalFormatting>
  <conditionalFormatting sqref="G269">
    <cfRule type="expression" dxfId="155" priority="214">
      <formula>($G269="")</formula>
    </cfRule>
  </conditionalFormatting>
  <conditionalFormatting sqref="G270">
    <cfRule type="expression" dxfId="154" priority="213">
      <formula>($G270="")</formula>
    </cfRule>
  </conditionalFormatting>
  <conditionalFormatting sqref="G284">
    <cfRule type="expression" dxfId="153" priority="212">
      <formula>($G284="")</formula>
    </cfRule>
  </conditionalFormatting>
  <conditionalFormatting sqref="G285">
    <cfRule type="expression" dxfId="152" priority="211">
      <formula>($G285="")</formula>
    </cfRule>
  </conditionalFormatting>
  <conditionalFormatting sqref="G286">
    <cfRule type="expression" dxfId="151" priority="210">
      <formula>($G286="")</formula>
    </cfRule>
  </conditionalFormatting>
  <conditionalFormatting sqref="G287">
    <cfRule type="expression" dxfId="150" priority="209">
      <formula>($G287="")</formula>
    </cfRule>
  </conditionalFormatting>
  <conditionalFormatting sqref="G288">
    <cfRule type="expression" dxfId="149" priority="208">
      <formula>($G288="")</formula>
    </cfRule>
  </conditionalFormatting>
  <conditionalFormatting sqref="G289">
    <cfRule type="expression" dxfId="148" priority="207">
      <formula>($G289="")</formula>
    </cfRule>
  </conditionalFormatting>
  <conditionalFormatting sqref="K210">
    <cfRule type="expression" dxfId="147" priority="200">
      <formula>($K210="")</formula>
    </cfRule>
  </conditionalFormatting>
  <conditionalFormatting sqref="K211">
    <cfRule type="expression" dxfId="146" priority="199">
      <formula>($K211="")</formula>
    </cfRule>
  </conditionalFormatting>
  <conditionalFormatting sqref="K213">
    <cfRule type="expression" dxfId="145" priority="198">
      <formula>($K213="")</formula>
    </cfRule>
  </conditionalFormatting>
  <conditionalFormatting sqref="K214">
    <cfRule type="expression" dxfId="144" priority="197">
      <formula>($K214="")</formula>
    </cfRule>
  </conditionalFormatting>
  <conditionalFormatting sqref="K217">
    <cfRule type="expression" dxfId="143" priority="196">
      <formula>($K217="")</formula>
    </cfRule>
  </conditionalFormatting>
  <conditionalFormatting sqref="K219">
    <cfRule type="expression" dxfId="142" priority="195">
      <formula>($K219="")</formula>
    </cfRule>
  </conditionalFormatting>
  <conditionalFormatting sqref="K220">
    <cfRule type="expression" dxfId="141" priority="194">
      <formula>($K220="")</formula>
    </cfRule>
  </conditionalFormatting>
  <conditionalFormatting sqref="K233">
    <cfRule type="expression" dxfId="140" priority="193">
      <formula>($K233="")</formula>
    </cfRule>
  </conditionalFormatting>
  <conditionalFormatting sqref="K234">
    <cfRule type="expression" dxfId="139" priority="192">
      <formula>($K234="")</formula>
    </cfRule>
  </conditionalFormatting>
  <conditionalFormatting sqref="K235">
    <cfRule type="expression" dxfId="138" priority="191">
      <formula>($K235="")</formula>
    </cfRule>
  </conditionalFormatting>
  <conditionalFormatting sqref="K269">
    <cfRule type="expression" dxfId="137" priority="190">
      <formula>($K269="")</formula>
    </cfRule>
  </conditionalFormatting>
  <conditionalFormatting sqref="K270">
    <cfRule type="expression" dxfId="136" priority="189">
      <formula>($K270="")</formula>
    </cfRule>
  </conditionalFormatting>
  <conditionalFormatting sqref="K285">
    <cfRule type="expression" dxfId="135" priority="188">
      <formula>($K285="")</formula>
    </cfRule>
  </conditionalFormatting>
  <conditionalFormatting sqref="K286">
    <cfRule type="expression" dxfId="134" priority="187">
      <formula>($K286="")</formula>
    </cfRule>
  </conditionalFormatting>
  <conditionalFormatting sqref="K287">
    <cfRule type="expression" dxfId="133" priority="186">
      <formula>($K287="")</formula>
    </cfRule>
  </conditionalFormatting>
  <conditionalFormatting sqref="K288">
    <cfRule type="expression" dxfId="132" priority="185">
      <formula>($K288="")</formula>
    </cfRule>
  </conditionalFormatting>
  <conditionalFormatting sqref="K289">
    <cfRule type="expression" dxfId="131" priority="184">
      <formula>($K289="")</formula>
    </cfRule>
  </conditionalFormatting>
  <conditionalFormatting sqref="P284">
    <cfRule type="expression" dxfId="130" priority="168">
      <formula>($P284="")</formula>
    </cfRule>
  </conditionalFormatting>
  <conditionalFormatting sqref="P285">
    <cfRule type="expression" dxfId="129" priority="167">
      <formula>($P285="")</formula>
    </cfRule>
  </conditionalFormatting>
  <conditionalFormatting sqref="P286">
    <cfRule type="expression" dxfId="128" priority="166">
      <formula>($P286="")</formula>
    </cfRule>
  </conditionalFormatting>
  <conditionalFormatting sqref="P287">
    <cfRule type="expression" dxfId="127" priority="165">
      <formula>($P287="")</formula>
    </cfRule>
  </conditionalFormatting>
  <conditionalFormatting sqref="P288">
    <cfRule type="expression" dxfId="126" priority="164">
      <formula>($P288="")</formula>
    </cfRule>
  </conditionalFormatting>
  <conditionalFormatting sqref="P289">
    <cfRule type="expression" dxfId="125" priority="163">
      <formula>($P289="")</formula>
    </cfRule>
  </conditionalFormatting>
  <conditionalFormatting sqref="P220">
    <cfRule type="expression" dxfId="124" priority="162">
      <formula>($P220="")</formula>
    </cfRule>
  </conditionalFormatting>
  <conditionalFormatting sqref="P214">
    <cfRule type="expression" dxfId="123" priority="161">
      <formula>($P214="")</formula>
    </cfRule>
  </conditionalFormatting>
  <conditionalFormatting sqref="P169">
    <cfRule type="expression" dxfId="122" priority="160">
      <formula>($P169="")</formula>
    </cfRule>
  </conditionalFormatting>
  <conditionalFormatting sqref="P170">
    <cfRule type="expression" dxfId="121" priority="159">
      <formula>($P170="")</formula>
    </cfRule>
  </conditionalFormatting>
  <conditionalFormatting sqref="P171">
    <cfRule type="expression" dxfId="120" priority="158">
      <formula>($P171="")</formula>
    </cfRule>
  </conditionalFormatting>
  <conditionalFormatting sqref="K24">
    <cfRule type="expression" dxfId="119" priority="156">
      <formula>($K24="")</formula>
    </cfRule>
  </conditionalFormatting>
  <conditionalFormatting sqref="K78">
    <cfRule type="expression" dxfId="118" priority="155">
      <formula>($K78="")</formula>
    </cfRule>
  </conditionalFormatting>
  <conditionalFormatting sqref="K79">
    <cfRule type="expression" dxfId="117" priority="154">
      <formula>($K79="")</formula>
    </cfRule>
  </conditionalFormatting>
  <conditionalFormatting sqref="K80">
    <cfRule type="expression" dxfId="116" priority="153">
      <formula>($K80="")</formula>
    </cfRule>
  </conditionalFormatting>
  <conditionalFormatting sqref="K81">
    <cfRule type="expression" dxfId="115" priority="152">
      <formula>($K81="")</formula>
    </cfRule>
  </conditionalFormatting>
  <conditionalFormatting sqref="K82">
    <cfRule type="expression" dxfId="114" priority="151">
      <formula>($K82="")</formula>
    </cfRule>
  </conditionalFormatting>
  <conditionalFormatting sqref="K83">
    <cfRule type="expression" dxfId="113" priority="150">
      <formula>($K83="")</formula>
    </cfRule>
  </conditionalFormatting>
  <conditionalFormatting sqref="K84">
    <cfRule type="expression" dxfId="112" priority="149">
      <formula>($K84="")</formula>
    </cfRule>
  </conditionalFormatting>
  <conditionalFormatting sqref="K85">
    <cfRule type="expression" dxfId="111" priority="148">
      <formula>($K85="")</formula>
    </cfRule>
  </conditionalFormatting>
  <conditionalFormatting sqref="K86">
    <cfRule type="expression" dxfId="110" priority="147">
      <formula>($K86="")</formula>
    </cfRule>
  </conditionalFormatting>
  <conditionalFormatting sqref="P78">
    <cfRule type="expression" dxfId="109" priority="146">
      <formula>($P78="")</formula>
    </cfRule>
  </conditionalFormatting>
  <conditionalFormatting sqref="P79">
    <cfRule type="expression" dxfId="108" priority="145">
      <formula>($P79="")</formula>
    </cfRule>
  </conditionalFormatting>
  <conditionalFormatting sqref="P80">
    <cfRule type="expression" dxfId="107" priority="144">
      <formula>($P80="")</formula>
    </cfRule>
  </conditionalFormatting>
  <conditionalFormatting sqref="P81">
    <cfRule type="expression" dxfId="106" priority="143">
      <formula>($P81="")</formula>
    </cfRule>
  </conditionalFormatting>
  <conditionalFormatting sqref="P82">
    <cfRule type="expression" dxfId="105" priority="142">
      <formula>($P82="")</formula>
    </cfRule>
  </conditionalFormatting>
  <conditionalFormatting sqref="P83">
    <cfRule type="expression" dxfId="104" priority="141">
      <formula>($P83="")</formula>
    </cfRule>
  </conditionalFormatting>
  <conditionalFormatting sqref="P84">
    <cfRule type="expression" dxfId="103" priority="140">
      <formula>($P84="")</formula>
    </cfRule>
  </conditionalFormatting>
  <conditionalFormatting sqref="P85">
    <cfRule type="expression" dxfId="102" priority="139">
      <formula>($P85="")</formula>
    </cfRule>
  </conditionalFormatting>
  <conditionalFormatting sqref="P86">
    <cfRule type="expression" dxfId="101" priority="138">
      <formula>($P86="")</formula>
    </cfRule>
  </conditionalFormatting>
  <conditionalFormatting sqref="D289">
    <cfRule type="expression" dxfId="100" priority="137">
      <formula>($D289="")</formula>
    </cfRule>
  </conditionalFormatting>
  <conditionalFormatting sqref="G289">
    <cfRule type="expression" dxfId="99" priority="136">
      <formula>($G289="")</formula>
    </cfRule>
  </conditionalFormatting>
  <conditionalFormatting sqref="K289">
    <cfRule type="expression" dxfId="98" priority="135">
      <formula>($K289="")</formula>
    </cfRule>
  </conditionalFormatting>
  <conditionalFormatting sqref="P289">
    <cfRule type="expression" dxfId="97" priority="134">
      <formula>($P289="")</formula>
    </cfRule>
  </conditionalFormatting>
  <conditionalFormatting sqref="R12">
    <cfRule type="expression" dxfId="96" priority="127" stopIfTrue="1">
      <formula>AND($R12="",$U$12=0)</formula>
    </cfRule>
  </conditionalFormatting>
  <conditionalFormatting sqref="R398:R407">
    <cfRule type="containsBlanks" dxfId="95" priority="1237" stopIfTrue="1">
      <formula>LEN(TRIM(R398))=0</formula>
    </cfRule>
  </conditionalFormatting>
  <conditionalFormatting sqref="S309 U298 S299 S313:S316 S189 S191 S181 U180 S112 S114 S103 U102 S196:S199 S307 S120:S127">
    <cfRule type="cellIs" dxfId="94" priority="118" stopIfTrue="1" operator="notEqual">
      <formula>0</formula>
    </cfRule>
  </conditionalFormatting>
  <conditionalFormatting sqref="C155:C157">
    <cfRule type="expression" dxfId="93" priority="88">
      <formula>($C155="")</formula>
    </cfRule>
  </conditionalFormatting>
  <conditionalFormatting sqref="K155:K157">
    <cfRule type="expression" dxfId="92" priority="87">
      <formula>($K155="")</formula>
    </cfRule>
  </conditionalFormatting>
  <conditionalFormatting sqref="P155:P157">
    <cfRule type="expression" dxfId="91" priority="86">
      <formula>($P155="")</formula>
    </cfRule>
  </conditionalFormatting>
  <conditionalFormatting sqref="E155:E157">
    <cfRule type="expression" dxfId="90" priority="85">
      <formula>($E155="")</formula>
    </cfRule>
  </conditionalFormatting>
  <conditionalFormatting sqref="D155:D157">
    <cfRule type="expression" dxfId="89" priority="84">
      <formula>($D155="")</formula>
    </cfRule>
  </conditionalFormatting>
  <conditionalFormatting sqref="C29:C36">
    <cfRule type="expression" dxfId="88" priority="83">
      <formula>($C29="")</formula>
    </cfRule>
  </conditionalFormatting>
  <conditionalFormatting sqref="K29:K36">
    <cfRule type="expression" dxfId="87" priority="82">
      <formula>($K29="")</formula>
    </cfRule>
  </conditionalFormatting>
  <conditionalFormatting sqref="F29:F36">
    <cfRule type="expression" dxfId="86" priority="81">
      <formula>($F29="")</formula>
    </cfRule>
  </conditionalFormatting>
  <conditionalFormatting sqref="G29:G36">
    <cfRule type="expression" dxfId="85" priority="80">
      <formula>($G29="")</formula>
    </cfRule>
  </conditionalFormatting>
  <conditionalFormatting sqref="H29:H36">
    <cfRule type="expression" dxfId="84" priority="79">
      <formula>($H29="")</formula>
    </cfRule>
  </conditionalFormatting>
  <conditionalFormatting sqref="E29:E36">
    <cfRule type="expression" dxfId="83" priority="78">
      <formula>($E29="")</formula>
    </cfRule>
  </conditionalFormatting>
  <conditionalFormatting sqref="P29:P36">
    <cfRule type="expression" dxfId="82" priority="77">
      <formula>($P29="")</formula>
    </cfRule>
  </conditionalFormatting>
  <conditionalFormatting sqref="D29:D36">
    <cfRule type="expression" dxfId="81" priority="76">
      <formula>($D29="")</formula>
    </cfRule>
  </conditionalFormatting>
  <conditionalFormatting sqref="C141:C148">
    <cfRule type="expression" dxfId="80" priority="75">
      <formula>($C141="")</formula>
    </cfRule>
  </conditionalFormatting>
  <conditionalFormatting sqref="K141:K148">
    <cfRule type="expression" dxfId="79" priority="74">
      <formula>($K141="")</formula>
    </cfRule>
  </conditionalFormatting>
  <conditionalFormatting sqref="P141:P148">
    <cfRule type="expression" dxfId="78" priority="73">
      <formula>($P141="")</formula>
    </cfRule>
  </conditionalFormatting>
  <conditionalFormatting sqref="E141:E148">
    <cfRule type="expression" dxfId="77" priority="72">
      <formula>($E141="")</formula>
    </cfRule>
  </conditionalFormatting>
  <conditionalFormatting sqref="D141:D148">
    <cfRule type="expression" dxfId="76" priority="71">
      <formula>($D141="")</formula>
    </cfRule>
  </conditionalFormatting>
  <conditionalFormatting sqref="C163:C165">
    <cfRule type="expression" dxfId="75" priority="70">
      <formula>($C163="")</formula>
    </cfRule>
  </conditionalFormatting>
  <conditionalFormatting sqref="K163:K165">
    <cfRule type="expression" dxfId="74" priority="69">
      <formula>($K163="")</formula>
    </cfRule>
  </conditionalFormatting>
  <conditionalFormatting sqref="Q163:Q165">
    <cfRule type="expression" dxfId="73" priority="68">
      <formula>($Q163="√")</formula>
    </cfRule>
  </conditionalFormatting>
  <conditionalFormatting sqref="P163:P165">
    <cfRule type="expression" dxfId="72" priority="67">
      <formula>($P163="")</formula>
    </cfRule>
  </conditionalFormatting>
  <conditionalFormatting sqref="E163:E165">
    <cfRule type="expression" dxfId="71" priority="66">
      <formula>($E163="")</formula>
    </cfRule>
  </conditionalFormatting>
  <conditionalFormatting sqref="D163:D165">
    <cfRule type="expression" dxfId="70" priority="65">
      <formula>($D163="")</formula>
    </cfRule>
  </conditionalFormatting>
  <conditionalFormatting sqref="C227">
    <cfRule type="expression" dxfId="69" priority="61">
      <formula>($C227="")</formula>
    </cfRule>
  </conditionalFormatting>
  <conditionalFormatting sqref="G227">
    <cfRule type="expression" dxfId="68" priority="60">
      <formula>($G227="")</formula>
    </cfRule>
  </conditionalFormatting>
  <conditionalFormatting sqref="Q227:Q230">
    <cfRule type="expression" dxfId="67" priority="59">
      <formula>($Q227="√")</formula>
    </cfRule>
  </conditionalFormatting>
  <conditionalFormatting sqref="G228">
    <cfRule type="expression" dxfId="66" priority="58">
      <formula>($G228="")</formula>
    </cfRule>
  </conditionalFormatting>
  <conditionalFormatting sqref="Q228">
    <cfRule type="expression" dxfId="65" priority="57">
      <formula>($Q228="√")</formula>
    </cfRule>
  </conditionalFormatting>
  <conditionalFormatting sqref="C228:C230">
    <cfRule type="expression" dxfId="64" priority="56">
      <formula>($C228="")</formula>
    </cfRule>
  </conditionalFormatting>
  <conditionalFormatting sqref="G229">
    <cfRule type="expression" dxfId="63" priority="55">
      <formula>($G229="")</formula>
    </cfRule>
  </conditionalFormatting>
  <conditionalFormatting sqref="G230">
    <cfRule type="expression" dxfId="62" priority="54">
      <formula>($G230="")</formula>
    </cfRule>
  </conditionalFormatting>
  <conditionalFormatting sqref="P227">
    <cfRule type="expression" dxfId="61" priority="53">
      <formula>($P227="")</formula>
    </cfRule>
  </conditionalFormatting>
  <conditionalFormatting sqref="P228">
    <cfRule type="expression" dxfId="60" priority="52">
      <formula>($P228="")</formula>
    </cfRule>
  </conditionalFormatting>
  <conditionalFormatting sqref="P229">
    <cfRule type="expression" dxfId="59" priority="51">
      <formula>($P229="")</formula>
    </cfRule>
  </conditionalFormatting>
  <conditionalFormatting sqref="P230">
    <cfRule type="expression" dxfId="58" priority="50">
      <formula>($P230="")</formula>
    </cfRule>
  </conditionalFormatting>
  <conditionalFormatting sqref="D227">
    <cfRule type="expression" dxfId="57" priority="49">
      <formula>($D227="")</formula>
    </cfRule>
  </conditionalFormatting>
  <conditionalFormatting sqref="D228">
    <cfRule type="expression" dxfId="56" priority="48">
      <formula>($D228="")</formula>
    </cfRule>
  </conditionalFormatting>
  <conditionalFormatting sqref="D229">
    <cfRule type="expression" dxfId="55" priority="47">
      <formula>($D229="")</formula>
    </cfRule>
  </conditionalFormatting>
  <conditionalFormatting sqref="D230">
    <cfRule type="expression" dxfId="54" priority="46">
      <formula>($D230="")</formula>
    </cfRule>
  </conditionalFormatting>
  <conditionalFormatting sqref="K227">
    <cfRule type="expression" dxfId="53" priority="45">
      <formula>($K227="")</formula>
    </cfRule>
  </conditionalFormatting>
  <conditionalFormatting sqref="K228">
    <cfRule type="expression" dxfId="52" priority="44">
      <formula>($K228="")</formula>
    </cfRule>
  </conditionalFormatting>
  <conditionalFormatting sqref="K229">
    <cfRule type="expression" dxfId="51" priority="43">
      <formula>($K229="")</formula>
    </cfRule>
  </conditionalFormatting>
  <conditionalFormatting sqref="K230">
    <cfRule type="expression" dxfId="50" priority="42">
      <formula>($K230="")</formula>
    </cfRule>
  </conditionalFormatting>
  <conditionalFormatting sqref="C228:C230">
    <cfRule type="expression" dxfId="49" priority="41">
      <formula>($C228="")</formula>
    </cfRule>
  </conditionalFormatting>
  <conditionalFormatting sqref="G225">
    <cfRule type="expression" dxfId="48" priority="37" stopIfTrue="1">
      <formula>AND($D$225&lt;&gt;"",$G$225="")</formula>
    </cfRule>
  </conditionalFormatting>
  <conditionalFormatting sqref="P135">
    <cfRule type="expression" dxfId="47" priority="34">
      <formula>($P135="")</formula>
    </cfRule>
  </conditionalFormatting>
  <conditionalFormatting sqref="E11">
    <cfRule type="expression" dxfId="46" priority="31">
      <formula>($D$11="")</formula>
    </cfRule>
    <cfRule type="expression" dxfId="45" priority="33">
      <formula>AND($D$11&lt;&gt;"",$E$11="")</formula>
    </cfRule>
  </conditionalFormatting>
  <conditionalFormatting sqref="Q135:Q136">
    <cfRule type="expression" dxfId="44" priority="29">
      <formula>($Q135="V")</formula>
    </cfRule>
  </conditionalFormatting>
  <conditionalFormatting sqref="Q20:Q22">
    <cfRule type="expression" dxfId="43" priority="28">
      <formula>($Q20="V")</formula>
    </cfRule>
  </conditionalFormatting>
  <conditionalFormatting sqref="Q207:Q208">
    <cfRule type="expression" dxfId="42" priority="27">
      <formula>($Q207="V")</formula>
    </cfRule>
  </conditionalFormatting>
  <conditionalFormatting sqref="G208">
    <cfRule type="expression" dxfId="41" priority="16">
      <formula>($G208="")</formula>
    </cfRule>
  </conditionalFormatting>
  <conditionalFormatting sqref="P22">
    <cfRule type="expression" dxfId="40" priority="24">
      <formula>($P22="")</formula>
    </cfRule>
  </conditionalFormatting>
  <conditionalFormatting sqref="K22">
    <cfRule type="expression" dxfId="39" priority="23">
      <formula>($K22="")</formula>
    </cfRule>
  </conditionalFormatting>
  <conditionalFormatting sqref="C22">
    <cfRule type="expression" dxfId="38" priority="22">
      <formula>($C22="")</formula>
    </cfRule>
  </conditionalFormatting>
  <conditionalFormatting sqref="D22">
    <cfRule type="expression" dxfId="37" priority="21">
      <formula>($D22="")</formula>
    </cfRule>
  </conditionalFormatting>
  <conditionalFormatting sqref="G22">
    <cfRule type="expression" dxfId="36" priority="20">
      <formula>($G22="")</formula>
    </cfRule>
  </conditionalFormatting>
  <conditionalFormatting sqref="K208">
    <cfRule type="expression" dxfId="35" priority="19">
      <formula>($K208="")</formula>
    </cfRule>
  </conditionalFormatting>
  <conditionalFormatting sqref="C208">
    <cfRule type="expression" dxfId="34" priority="18">
      <formula>($C208="")</formula>
    </cfRule>
  </conditionalFormatting>
  <conditionalFormatting sqref="D208">
    <cfRule type="expression" dxfId="33" priority="17">
      <formula>($D208="")</formula>
    </cfRule>
  </conditionalFormatting>
  <conditionalFormatting sqref="G207:G208">
    <cfRule type="expression" dxfId="32" priority="12">
      <formula>($G207="")</formula>
    </cfRule>
  </conditionalFormatting>
  <conditionalFormatting sqref="K207:K208">
    <cfRule type="expression" dxfId="31" priority="15">
      <formula>($K207="")</formula>
    </cfRule>
  </conditionalFormatting>
  <conditionalFormatting sqref="C207:C208">
    <cfRule type="expression" dxfId="30" priority="14">
      <formula>($C207="")</formula>
    </cfRule>
  </conditionalFormatting>
  <conditionalFormatting sqref="D207:D208">
    <cfRule type="expression" dxfId="29" priority="13">
      <formula>($D207="")</formula>
    </cfRule>
  </conditionalFormatting>
  <conditionalFormatting sqref="S328">
    <cfRule type="cellIs" dxfId="28" priority="11" stopIfTrue="1" operator="notEqual">
      <formula>0</formula>
    </cfRule>
  </conditionalFormatting>
  <conditionalFormatting sqref="C5">
    <cfRule type="expression" dxfId="27" priority="10">
      <formula>$C5=""</formula>
    </cfRule>
  </conditionalFormatting>
  <conditionalFormatting sqref="D267">
    <cfRule type="expression" dxfId="26" priority="8">
      <formula>($D267="")</formula>
    </cfRule>
  </conditionalFormatting>
  <conditionalFormatting sqref="C6:R6">
    <cfRule type="expression" dxfId="25" priority="7">
      <formula>($C6="")</formula>
    </cfRule>
  </conditionalFormatting>
  <conditionalFormatting sqref="D24">
    <cfRule type="expression" dxfId="24" priority="6">
      <formula>($D24="")</formula>
    </cfRule>
  </conditionalFormatting>
  <conditionalFormatting sqref="D24">
    <cfRule type="expression" dxfId="23" priority="5">
      <formula>($D24="")</formula>
    </cfRule>
  </conditionalFormatting>
  <conditionalFormatting sqref="D24">
    <cfRule type="expression" dxfId="22" priority="4">
      <formula>($D24="")</formula>
    </cfRule>
  </conditionalFormatting>
  <conditionalFormatting sqref="D24">
    <cfRule type="expression" dxfId="21" priority="3">
      <formula>($D24="")</formula>
    </cfRule>
  </conditionalFormatting>
  <conditionalFormatting sqref="P24">
    <cfRule type="expression" dxfId="20" priority="2">
      <formula>($P24="")</formula>
    </cfRule>
  </conditionalFormatting>
  <conditionalFormatting sqref="K76">
    <cfRule type="expression" dxfId="19" priority="1">
      <formula>($K76="")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 K76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7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H26" sqref="H26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781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I_007-55-1-01.32-1876. ''Реконструкция ВЛ 10 кВ яч.5Д ПС 110/10 кВ «Мордино» с заменой неизолированного провода на СИП протяженностью 14,75 км  в Корткеросском районе ''</v>
      </c>
      <c r="B1" s="781"/>
      <c r="C1" s="781"/>
    </row>
    <row r="2" spans="1:3" x14ac:dyDescent="0.25">
      <c r="A2" s="270" t="s">
        <v>1359</v>
      </c>
      <c r="B2" s="270" t="s">
        <v>1360</v>
      </c>
      <c r="C2" s="270" t="s">
        <v>1361</v>
      </c>
    </row>
    <row r="3" spans="1:3" x14ac:dyDescent="0.25">
      <c r="A3" s="270">
        <v>1</v>
      </c>
      <c r="B3" s="271" t="s">
        <v>1362</v>
      </c>
      <c r="C3" s="272">
        <f ca="1">ROUND(SUM('Расчет стоимости'!I358:J363)*0.2/0.8+SUM('Расчет стоимости'!I358:J363),5)</f>
        <v>52406.1875</v>
      </c>
    </row>
    <row r="4" spans="1:3" x14ac:dyDescent="0.25">
      <c r="A4" s="270">
        <v>2</v>
      </c>
      <c r="B4" s="271" t="s">
        <v>4</v>
      </c>
      <c r="C4" s="272">
        <f ca="1">ROUND(SUM('Расчет стоимости'!I364:J366)*0.2/0.8+SUM('Расчет стоимости'!I364:J366),5)</f>
        <v>2187.6125000000002</v>
      </c>
    </row>
    <row r="5" spans="1:3" x14ac:dyDescent="0.25">
      <c r="A5" s="270">
        <v>3</v>
      </c>
      <c r="B5" s="271" t="s">
        <v>1363</v>
      </c>
      <c r="C5" s="272">
        <f ca="1">ROUND(SUM('Расчет стоимости'!I355:J357)*0.2/0.8+SUM('Расчет стоимости'!I355:J357),5)</f>
        <v>3866.9</v>
      </c>
    </row>
    <row r="6" spans="1:3" x14ac:dyDescent="0.25">
      <c r="A6" s="270">
        <v>4</v>
      </c>
      <c r="B6" s="271" t="s">
        <v>1193</v>
      </c>
      <c r="C6" s="272">
        <f ca="1">ROUND(SUM('Расчет стоимости'!I367:J372)*0.2/0.8+SUM('Расчет стоимости'!I367:J372),5)</f>
        <v>10872.487499999999</v>
      </c>
    </row>
    <row r="7" spans="1:3" x14ac:dyDescent="0.25">
      <c r="A7" s="271"/>
      <c r="B7" s="271" t="s">
        <v>1201</v>
      </c>
      <c r="C7" s="272">
        <f ca="1">SUM(C3:C6)</f>
        <v>69333.1875</v>
      </c>
    </row>
    <row r="8" spans="1:3" x14ac:dyDescent="0.25">
      <c r="A8" s="271"/>
      <c r="B8" s="271" t="s">
        <v>1364</v>
      </c>
      <c r="C8" s="272">
        <f ca="1">ROUND(C7*0.18,5)</f>
        <v>12479.973749999999</v>
      </c>
    </row>
    <row r="9" spans="1:3" x14ac:dyDescent="0.25">
      <c r="A9" s="271"/>
      <c r="B9" s="271" t="s">
        <v>1365</v>
      </c>
      <c r="C9" s="272">
        <f ca="1">SUM(C7:C8)</f>
        <v>81813.161250000005</v>
      </c>
    </row>
    <row r="10" spans="1:3" x14ac:dyDescent="0.25">
      <c r="A10" s="273"/>
      <c r="B10" s="273"/>
      <c r="C10" s="273"/>
    </row>
    <row r="11" spans="1:3" x14ac:dyDescent="0.25">
      <c r="A11" s="273" t="s">
        <v>1212</v>
      </c>
      <c r="B11" s="273"/>
      <c r="C11" s="274"/>
    </row>
    <row r="12" spans="1:3" x14ac:dyDescent="0.25">
      <c r="A12" s="273"/>
      <c r="B12" s="273"/>
      <c r="C12" s="273"/>
    </row>
    <row r="13" spans="1:3" x14ac:dyDescent="0.25">
      <c r="A13" s="273" t="s">
        <v>1340</v>
      </c>
      <c r="B13" s="275"/>
      <c r="C13" s="27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1404</v>
      </c>
    </row>
    <row r="2" spans="1:1" s="43" customFormat="1" x14ac:dyDescent="0.25">
      <c r="A2" t="s">
        <v>1405</v>
      </c>
    </row>
    <row r="3" spans="1:1" s="43" customFormat="1" x14ac:dyDescent="0.25">
      <c r="A3" t="s">
        <v>1406</v>
      </c>
    </row>
    <row r="4" spans="1:1" s="43" customFormat="1" x14ac:dyDescent="0.25">
      <c r="A4" t="s">
        <v>1403</v>
      </c>
    </row>
    <row r="5" spans="1:1" s="43" customFormat="1" x14ac:dyDescent="0.25">
      <c r="A5" t="s">
        <v>1407</v>
      </c>
    </row>
    <row r="6" spans="1:1" s="43" customFormat="1" x14ac:dyDescent="0.25">
      <c r="A6" t="s">
        <v>1408</v>
      </c>
    </row>
    <row r="7" spans="1:1" s="43" customFormat="1" x14ac:dyDescent="0.25">
      <c r="A7" t="s">
        <v>1409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782" t="s">
        <v>1366</v>
      </c>
      <c r="B35" s="782"/>
      <c r="C35" s="782"/>
      <c r="D35" s="782"/>
      <c r="E35" s="782"/>
      <c r="F35" s="782"/>
      <c r="G35" s="782"/>
      <c r="H35" s="782"/>
      <c r="I35" s="782"/>
      <c r="J35" s="782"/>
      <c r="K35" s="782"/>
      <c r="L35" s="782"/>
      <c r="N35" s="783" t="s">
        <v>1378</v>
      </c>
      <c r="O35" s="784"/>
    </row>
    <row r="36" spans="1:15" x14ac:dyDescent="0.25">
      <c r="A36" s="276"/>
      <c r="B36" s="276" t="s">
        <v>1367</v>
      </c>
      <c r="C36" s="276" t="s">
        <v>1368</v>
      </c>
      <c r="D36" s="276" t="s">
        <v>1369</v>
      </c>
      <c r="E36" s="276" t="s">
        <v>1370</v>
      </c>
      <c r="F36" s="276" t="s">
        <v>1371</v>
      </c>
      <c r="G36" s="276" t="s">
        <v>1372</v>
      </c>
      <c r="H36" s="276" t="s">
        <v>1373</v>
      </c>
      <c r="I36" s="276" t="s">
        <v>1374</v>
      </c>
      <c r="J36" s="276" t="s">
        <v>1375</v>
      </c>
      <c r="K36" s="276" t="s">
        <v>1376</v>
      </c>
      <c r="L36" s="276" t="s">
        <v>1377</v>
      </c>
      <c r="N36" s="279" t="s">
        <v>1379</v>
      </c>
      <c r="O36" s="280"/>
    </row>
    <row r="37" spans="1:15" x14ac:dyDescent="0.25">
      <c r="A37" s="276">
        <v>2015</v>
      </c>
      <c r="B37" s="277">
        <v>6961.7972511641365</v>
      </c>
      <c r="C37" s="277">
        <v>2583.6922193433893</v>
      </c>
      <c r="D37" s="277">
        <v>2455.5729848423452</v>
      </c>
      <c r="E37" s="277">
        <v>1261.4117442837678</v>
      </c>
      <c r="F37" s="277">
        <v>73301.896185085046</v>
      </c>
      <c r="G37" s="277">
        <v>2556.245104781784</v>
      </c>
      <c r="H37" s="277">
        <v>3645.3136463737328</v>
      </c>
      <c r="I37" s="277">
        <v>2606.8842964868168</v>
      </c>
      <c r="J37" s="277">
        <v>4229.4700346379068</v>
      </c>
      <c r="K37" s="277">
        <v>5916.869565125985</v>
      </c>
      <c r="L37" s="277">
        <v>3779.3229666910788</v>
      </c>
      <c r="N37" s="279"/>
      <c r="O37" s="279"/>
    </row>
    <row r="38" spans="1:15" x14ac:dyDescent="0.25">
      <c r="A38" s="276">
        <v>2016</v>
      </c>
      <c r="B38" s="277">
        <v>6760.1098896230578</v>
      </c>
      <c r="C38" s="277">
        <v>2508.8411359300585</v>
      </c>
      <c r="D38" s="277">
        <v>2384.4335910167651</v>
      </c>
      <c r="E38" s="277">
        <v>1224.8679040449586</v>
      </c>
      <c r="F38" s="277">
        <v>71178.297133840679</v>
      </c>
      <c r="G38" s="277">
        <v>2482.1891804226648</v>
      </c>
      <c r="H38" s="277">
        <v>3539.7067657361413</v>
      </c>
      <c r="I38" s="277">
        <v>2531.3613249562422</v>
      </c>
      <c r="J38" s="277">
        <v>4106.9397998108961</v>
      </c>
      <c r="K38" s="277">
        <v>5745.4543733127757</v>
      </c>
      <c r="L38" s="277">
        <v>3669.8337572148812</v>
      </c>
    </row>
    <row r="39" spans="1:15" x14ac:dyDescent="0.25">
      <c r="A39" s="276">
        <v>2017</v>
      </c>
      <c r="B39" s="277">
        <v>6515.001389108982</v>
      </c>
      <c r="C39" s="277">
        <v>2417.8754121627876</v>
      </c>
      <c r="D39" s="277">
        <v>2297.9786440392536</v>
      </c>
      <c r="E39" s="277">
        <v>1180.4565645563605</v>
      </c>
      <c r="F39" s="277">
        <v>68597.509844213666</v>
      </c>
      <c r="G39" s="277">
        <v>2392.1898049776619</v>
      </c>
      <c r="H39" s="277">
        <v>3411.3638494559009</v>
      </c>
      <c r="I39" s="277">
        <v>2439.5790627223446</v>
      </c>
      <c r="J39" s="277">
        <v>3958.0301115854941</v>
      </c>
      <c r="K39" s="277">
        <v>5537.1353179707248</v>
      </c>
      <c r="L39" s="277">
        <v>3536.7726880823157</v>
      </c>
    </row>
    <row r="40" spans="1:15" x14ac:dyDescent="0.25">
      <c r="A40" s="276">
        <v>2018</v>
      </c>
      <c r="B40" s="277">
        <v>6964.5364849575017</v>
      </c>
      <c r="C40" s="277">
        <v>2584.70881560202</v>
      </c>
      <c r="D40" s="277">
        <v>2456.5391704779627</v>
      </c>
      <c r="E40" s="277">
        <v>1261.9080675107496</v>
      </c>
      <c r="F40" s="277">
        <v>73330.738023464408</v>
      </c>
      <c r="G40" s="277">
        <v>2557.2509015211203</v>
      </c>
      <c r="H40" s="277">
        <v>3646.7479550683584</v>
      </c>
      <c r="I40" s="277">
        <v>2607.9100180501869</v>
      </c>
      <c r="J40" s="277">
        <v>4231.1341892848932</v>
      </c>
      <c r="K40" s="277">
        <v>5919.1976549107058</v>
      </c>
      <c r="L40" s="277">
        <v>3780.810003559995</v>
      </c>
    </row>
    <row r="41" spans="1:15" x14ac:dyDescent="0.25">
      <c r="A41" s="276">
        <v>2019</v>
      </c>
      <c r="B41" s="277">
        <v>7347.5859916301633</v>
      </c>
      <c r="C41" s="277">
        <v>2726.8678004601311</v>
      </c>
      <c r="D41" s="277">
        <v>2591.6488248542501</v>
      </c>
      <c r="E41" s="277">
        <v>1331.3130112238407</v>
      </c>
      <c r="F41" s="277">
        <v>77363.928614754957</v>
      </c>
      <c r="G41" s="277">
        <v>2697.8997011047818</v>
      </c>
      <c r="H41" s="277">
        <v>3847.3190925971176</v>
      </c>
      <c r="I41" s="277">
        <v>2751.3450690429468</v>
      </c>
      <c r="J41" s="277">
        <v>4463.8465696955618</v>
      </c>
      <c r="K41" s="277">
        <v>6244.7535259307942</v>
      </c>
      <c r="L41" s="277">
        <v>3988.7545537557944</v>
      </c>
    </row>
    <row r="42" spans="1:15" x14ac:dyDescent="0.25">
      <c r="A42" s="276">
        <v>2020</v>
      </c>
      <c r="B42" s="277">
        <v>4862.0600000000004</v>
      </c>
      <c r="C42" s="277">
        <v>0</v>
      </c>
      <c r="D42" s="277">
        <v>1120.32</v>
      </c>
      <c r="E42" s="277">
        <v>1224.96</v>
      </c>
      <c r="F42" s="277">
        <v>0</v>
      </c>
      <c r="G42" s="277">
        <v>0</v>
      </c>
      <c r="H42" s="277">
        <v>6555.93</v>
      </c>
      <c r="I42" s="277">
        <v>1450</v>
      </c>
      <c r="J42" s="277">
        <v>4903.88</v>
      </c>
      <c r="K42" s="277">
        <v>0</v>
      </c>
      <c r="L42" s="277">
        <v>3357.44</v>
      </c>
    </row>
    <row r="43" spans="1:15" x14ac:dyDescent="0.25">
      <c r="A43" s="276">
        <v>2021</v>
      </c>
      <c r="B43" s="277">
        <v>4862.0600000000004</v>
      </c>
      <c r="C43" s="277">
        <v>0</v>
      </c>
      <c r="D43" s="277">
        <v>1120.32</v>
      </c>
      <c r="E43" s="277">
        <v>1224.96</v>
      </c>
      <c r="F43" s="277">
        <v>0</v>
      </c>
      <c r="G43" s="277">
        <v>0</v>
      </c>
      <c r="H43" s="277">
        <v>6555.93</v>
      </c>
      <c r="I43" s="277">
        <v>1450</v>
      </c>
      <c r="J43" s="277">
        <v>4903.88</v>
      </c>
      <c r="K43" s="277">
        <v>0</v>
      </c>
      <c r="L43" s="277">
        <v>3357.44</v>
      </c>
    </row>
    <row r="44" spans="1:15" x14ac:dyDescent="0.25">
      <c r="A44" s="276">
        <v>2022</v>
      </c>
      <c r="B44" s="277">
        <v>4862.0600000000004</v>
      </c>
      <c r="C44" s="277">
        <v>0</v>
      </c>
      <c r="D44" s="277">
        <v>1120.32</v>
      </c>
      <c r="E44" s="277">
        <v>1224.96</v>
      </c>
      <c r="F44" s="277">
        <v>0</v>
      </c>
      <c r="G44" s="277">
        <v>0</v>
      </c>
      <c r="H44" s="277">
        <v>6555.93</v>
      </c>
      <c r="I44" s="277">
        <v>1450</v>
      </c>
      <c r="J44" s="277">
        <v>4903.88</v>
      </c>
      <c r="K44" s="277">
        <v>0</v>
      </c>
      <c r="L44" s="27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K16" sqref="K16"/>
    </sheetView>
  </sheetViews>
  <sheetFormatPr defaultRowHeight="15" x14ac:dyDescent="0.25"/>
  <cols>
    <col min="1" max="1" width="10.28515625" style="163" customWidth="1"/>
    <col min="2" max="2" width="12.140625" style="163" customWidth="1"/>
    <col min="3" max="3" width="43" style="163" customWidth="1"/>
    <col min="4" max="4" width="12.28515625" style="163" customWidth="1"/>
    <col min="5" max="5" width="10.42578125" style="163" customWidth="1"/>
    <col min="6" max="6" width="11.28515625" style="163" customWidth="1"/>
    <col min="7" max="7" width="11.85546875" style="163" customWidth="1"/>
    <col min="8" max="8" width="10.42578125" style="163" customWidth="1"/>
    <col min="9" max="9" width="11.85546875" style="163" customWidth="1"/>
    <col min="10" max="10" width="14.85546875" style="163" customWidth="1"/>
    <col min="11" max="11" width="15.85546875" style="163" customWidth="1"/>
    <col min="12" max="12" width="9.5703125" style="163" customWidth="1"/>
    <col min="13" max="14" width="9.85546875" style="163" customWidth="1"/>
    <col min="15" max="15" width="9.7109375" style="163" customWidth="1"/>
    <col min="16" max="17" width="9.85546875" style="163" customWidth="1"/>
    <col min="18" max="18" width="11.28515625" style="163" customWidth="1"/>
    <col min="19" max="19" width="12" style="163" customWidth="1"/>
    <col min="20" max="20" width="11.7109375" style="163" customWidth="1"/>
    <col min="21" max="21" width="11.42578125" style="163" customWidth="1"/>
    <col min="22" max="22" width="11.7109375" style="163" customWidth="1"/>
    <col min="23" max="23" width="11.5703125" style="163" customWidth="1"/>
    <col min="24" max="24" width="14.42578125" style="163" customWidth="1"/>
    <col min="25" max="26" width="9.140625" style="163"/>
    <col min="27" max="27" width="11.7109375" style="163" customWidth="1"/>
    <col min="28" max="28" width="14.140625" style="163" customWidth="1"/>
    <col min="29" max="16384" width="9.140625" style="163"/>
  </cols>
  <sheetData>
    <row r="1" spans="1:34" x14ac:dyDescent="0.25">
      <c r="W1" s="525"/>
      <c r="X1" s="526"/>
      <c r="Y1" s="526"/>
      <c r="Z1" s="526"/>
      <c r="AA1" s="526"/>
      <c r="AB1" s="526"/>
      <c r="AC1" s="526"/>
      <c r="AD1" s="526"/>
      <c r="AE1" s="526"/>
      <c r="AF1" s="526"/>
      <c r="AG1" s="526"/>
      <c r="AH1" s="526"/>
    </row>
    <row r="2" spans="1:34" s="527" customFormat="1" x14ac:dyDescent="0.25">
      <c r="B2" s="792" t="s">
        <v>1433</v>
      </c>
      <c r="C2" s="792"/>
      <c r="D2" s="792"/>
      <c r="E2" s="792"/>
      <c r="F2" s="792"/>
      <c r="G2" s="792"/>
      <c r="H2" s="792"/>
      <c r="I2" s="792"/>
      <c r="J2" s="528" t="s">
        <v>1434</v>
      </c>
      <c r="L2" s="793"/>
      <c r="M2" s="793"/>
      <c r="N2" s="793"/>
      <c r="O2" s="793"/>
      <c r="P2" s="793"/>
      <c r="Q2" s="793"/>
      <c r="R2" s="793"/>
      <c r="S2" s="793"/>
      <c r="T2" s="793"/>
      <c r="U2" s="793"/>
      <c r="V2" s="793"/>
    </row>
    <row r="3" spans="1:34" ht="15.75" thickBot="1" x14ac:dyDescent="0.3">
      <c r="L3" s="529"/>
      <c r="M3" s="529"/>
      <c r="N3" s="529"/>
      <c r="O3" s="529"/>
      <c r="P3" s="529"/>
      <c r="Q3" s="529"/>
      <c r="R3" s="530"/>
      <c r="S3" s="530"/>
      <c r="T3" s="530"/>
      <c r="U3" s="163">
        <v>2023</v>
      </c>
      <c r="V3" s="163" t="s">
        <v>1435</v>
      </c>
      <c r="W3" s="526"/>
      <c r="X3" s="526"/>
      <c r="Y3" s="526"/>
      <c r="Z3" s="526"/>
      <c r="AA3" s="526"/>
      <c r="AB3" s="526"/>
      <c r="AC3" s="526"/>
      <c r="AD3" s="526"/>
      <c r="AE3" s="526"/>
      <c r="AF3" s="526"/>
      <c r="AG3" s="526"/>
      <c r="AH3" s="526"/>
    </row>
    <row r="4" spans="1:34" ht="15" customHeight="1" x14ac:dyDescent="0.25">
      <c r="A4" s="794" t="s">
        <v>501</v>
      </c>
      <c r="B4" s="797" t="s">
        <v>1436</v>
      </c>
      <c r="C4" s="797" t="s">
        <v>1437</v>
      </c>
      <c r="D4" s="800" t="s">
        <v>1444</v>
      </c>
      <c r="E4" s="803" t="s">
        <v>1427</v>
      </c>
      <c r="F4" s="804"/>
      <c r="G4" s="804"/>
      <c r="H4" s="805"/>
      <c r="I4" s="806" t="s">
        <v>1445</v>
      </c>
      <c r="J4" s="807"/>
      <c r="K4" s="808"/>
      <c r="L4" s="806" t="s">
        <v>1446</v>
      </c>
      <c r="M4" s="807"/>
      <c r="N4" s="807"/>
      <c r="O4" s="807"/>
      <c r="P4" s="807"/>
      <c r="Q4" s="808"/>
      <c r="R4" s="809" t="s">
        <v>1438</v>
      </c>
      <c r="S4" s="812" t="s">
        <v>1447</v>
      </c>
      <c r="T4" s="815" t="s">
        <v>1448</v>
      </c>
      <c r="U4" s="818" t="s">
        <v>1449</v>
      </c>
      <c r="V4" s="821" t="s">
        <v>1439</v>
      </c>
      <c r="W4" s="526"/>
      <c r="X4" s="526"/>
      <c r="Y4" s="526"/>
      <c r="Z4" s="526"/>
      <c r="AA4" s="526"/>
      <c r="AB4" s="526"/>
      <c r="AC4" s="526"/>
      <c r="AD4" s="526"/>
      <c r="AE4" s="526"/>
      <c r="AF4" s="526"/>
      <c r="AG4" s="526"/>
      <c r="AH4" s="526"/>
    </row>
    <row r="5" spans="1:34" x14ac:dyDescent="0.25">
      <c r="A5" s="795"/>
      <c r="B5" s="798"/>
      <c r="C5" s="798"/>
      <c r="D5" s="801"/>
      <c r="E5" s="824" t="s">
        <v>1450</v>
      </c>
      <c r="F5" s="826" t="s">
        <v>1451</v>
      </c>
      <c r="G5" s="826" t="s">
        <v>1452</v>
      </c>
      <c r="H5" s="828" t="s">
        <v>1453</v>
      </c>
      <c r="I5" s="785" t="s">
        <v>1454</v>
      </c>
      <c r="J5" s="787"/>
      <c r="K5" s="531" t="s">
        <v>1455</v>
      </c>
      <c r="L5" s="785" t="s">
        <v>1454</v>
      </c>
      <c r="M5" s="786"/>
      <c r="N5" s="787"/>
      <c r="O5" s="788" t="s">
        <v>1455</v>
      </c>
      <c r="P5" s="786"/>
      <c r="Q5" s="789"/>
      <c r="R5" s="810"/>
      <c r="S5" s="813"/>
      <c r="T5" s="816"/>
      <c r="U5" s="819"/>
      <c r="V5" s="822"/>
      <c r="W5" s="526"/>
      <c r="X5" s="526"/>
      <c r="Y5" s="526"/>
      <c r="Z5" s="526"/>
      <c r="AA5" s="526"/>
      <c r="AB5" s="526"/>
      <c r="AC5" s="526"/>
      <c r="AD5" s="526"/>
      <c r="AE5" s="526"/>
      <c r="AF5" s="526"/>
      <c r="AG5" s="526"/>
      <c r="AH5" s="526"/>
    </row>
    <row r="6" spans="1:34" ht="132.75" thickBot="1" x14ac:dyDescent="0.3">
      <c r="A6" s="796"/>
      <c r="B6" s="799"/>
      <c r="C6" s="799"/>
      <c r="D6" s="802"/>
      <c r="E6" s="825"/>
      <c r="F6" s="827"/>
      <c r="G6" s="827"/>
      <c r="H6" s="829"/>
      <c r="I6" s="532" t="s">
        <v>1456</v>
      </c>
      <c r="J6" s="533" t="s">
        <v>1457</v>
      </c>
      <c r="K6" s="534" t="s">
        <v>1458</v>
      </c>
      <c r="L6" s="535" t="s">
        <v>1459</v>
      </c>
      <c r="M6" s="536" t="s">
        <v>1440</v>
      </c>
      <c r="N6" s="536" t="s">
        <v>1441</v>
      </c>
      <c r="O6" s="536" t="s">
        <v>1459</v>
      </c>
      <c r="P6" s="536" t="s">
        <v>1440</v>
      </c>
      <c r="Q6" s="537" t="s">
        <v>1441</v>
      </c>
      <c r="R6" s="811"/>
      <c r="S6" s="814"/>
      <c r="T6" s="817"/>
      <c r="U6" s="820"/>
      <c r="V6" s="823"/>
      <c r="W6" s="526"/>
      <c r="X6" s="526"/>
      <c r="Y6" s="526"/>
      <c r="Z6" s="526"/>
      <c r="AA6" s="526"/>
      <c r="AB6" s="526"/>
      <c r="AC6" s="526"/>
      <c r="AD6" s="526"/>
      <c r="AE6" s="526"/>
      <c r="AF6" s="526"/>
      <c r="AG6" s="526"/>
      <c r="AH6" s="526"/>
    </row>
    <row r="7" spans="1:34" s="475" customFormat="1" x14ac:dyDescent="0.25">
      <c r="A7" s="538">
        <v>1</v>
      </c>
      <c r="B7" s="539">
        <v>2</v>
      </c>
      <c r="C7" s="539">
        <v>3</v>
      </c>
      <c r="D7" s="540">
        <v>4</v>
      </c>
      <c r="E7" s="541">
        <v>5</v>
      </c>
      <c r="F7" s="542">
        <v>6</v>
      </c>
      <c r="G7" s="542">
        <v>7</v>
      </c>
      <c r="H7" s="543">
        <v>8</v>
      </c>
      <c r="I7" s="544">
        <v>9</v>
      </c>
      <c r="J7" s="545">
        <v>10</v>
      </c>
      <c r="K7" s="546">
        <v>11</v>
      </c>
      <c r="L7" s="547">
        <v>12</v>
      </c>
      <c r="M7" s="548">
        <v>13</v>
      </c>
      <c r="N7" s="548">
        <v>14</v>
      </c>
      <c r="O7" s="548">
        <v>15</v>
      </c>
      <c r="P7" s="548">
        <v>16</v>
      </c>
      <c r="Q7" s="549">
        <v>17</v>
      </c>
      <c r="R7" s="550">
        <v>18</v>
      </c>
      <c r="S7" s="538">
        <v>19</v>
      </c>
      <c r="T7" s="539">
        <v>20</v>
      </c>
      <c r="U7" s="539">
        <v>21</v>
      </c>
      <c r="V7" s="551">
        <v>22</v>
      </c>
      <c r="W7" s="526"/>
      <c r="X7" s="526"/>
      <c r="Y7" s="526"/>
      <c r="Z7" s="526"/>
      <c r="AA7" s="526"/>
      <c r="AB7" s="526"/>
      <c r="AC7" s="526"/>
      <c r="AD7" s="526"/>
      <c r="AE7" s="526"/>
      <c r="AF7" s="526"/>
      <c r="AG7" s="526"/>
      <c r="AH7" s="526"/>
    </row>
    <row r="8" spans="1:34" ht="48.75" thickBot="1" x14ac:dyDescent="0.3">
      <c r="A8" s="552">
        <v>2023</v>
      </c>
      <c r="B8" s="553" t="s">
        <v>1434</v>
      </c>
      <c r="C8" s="554" t="s">
        <v>1460</v>
      </c>
      <c r="D8" s="555">
        <v>38826.58</v>
      </c>
      <c r="E8" s="556">
        <v>2027.62762</v>
      </c>
      <c r="F8" s="557">
        <v>29347.47</v>
      </c>
      <c r="G8" s="557">
        <v>1225.06</v>
      </c>
      <c r="H8" s="558">
        <v>6226.4223800000018</v>
      </c>
      <c r="I8" s="559">
        <v>0</v>
      </c>
      <c r="J8" s="557">
        <v>0</v>
      </c>
      <c r="K8" s="560">
        <v>36399.680180000003</v>
      </c>
      <c r="L8" s="556">
        <v>0</v>
      </c>
      <c r="M8" s="557">
        <v>0</v>
      </c>
      <c r="N8" s="557">
        <v>0</v>
      </c>
      <c r="O8" s="557">
        <v>2426.8998200000001</v>
      </c>
      <c r="P8" s="557">
        <v>0</v>
      </c>
      <c r="Q8" s="558">
        <v>0</v>
      </c>
      <c r="R8" s="561">
        <v>38826.58</v>
      </c>
      <c r="S8" s="556">
        <v>0</v>
      </c>
      <c r="T8" s="557">
        <v>0</v>
      </c>
      <c r="U8" s="557">
        <v>46106.516040000002</v>
      </c>
      <c r="V8" s="562">
        <v>46106.516040000002</v>
      </c>
      <c r="W8" s="563"/>
      <c r="X8" s="564"/>
      <c r="Y8" s="565"/>
      <c r="Z8" s="526"/>
      <c r="AA8" s="565">
        <v>0</v>
      </c>
      <c r="AB8" s="565">
        <v>46106.516040000002</v>
      </c>
      <c r="AD8" s="526"/>
      <c r="AE8" s="526"/>
      <c r="AF8" s="526"/>
      <c r="AG8" s="526"/>
      <c r="AH8" s="526"/>
    </row>
    <row r="9" spans="1:34" s="570" customFormat="1" ht="12.75" x14ac:dyDescent="0.2">
      <c r="A9" s="566"/>
      <c r="B9" s="567"/>
      <c r="C9" s="567"/>
      <c r="D9" s="568"/>
      <c r="E9" s="568"/>
      <c r="F9" s="568"/>
      <c r="G9" s="568"/>
      <c r="H9" s="568"/>
      <c r="I9" s="568"/>
      <c r="J9" s="568"/>
      <c r="K9" s="568"/>
      <c r="L9" s="568"/>
      <c r="M9" s="568"/>
      <c r="N9" s="568"/>
      <c r="O9" s="568"/>
      <c r="P9" s="568"/>
      <c r="Q9" s="568"/>
      <c r="R9" s="569"/>
      <c r="S9" s="569"/>
      <c r="T9" s="569"/>
      <c r="U9" s="569"/>
      <c r="V9" s="569"/>
    </row>
    <row r="10" spans="1:34" s="570" customFormat="1" ht="12.75" x14ac:dyDescent="0.2">
      <c r="A10" s="566"/>
      <c r="B10" s="567"/>
      <c r="C10" s="567"/>
      <c r="D10" s="56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8"/>
      <c r="Q10" s="568"/>
      <c r="R10" s="569"/>
      <c r="S10" s="569"/>
      <c r="T10" s="569"/>
      <c r="U10" s="569"/>
      <c r="V10" s="569"/>
    </row>
    <row r="11" spans="1:34" s="570" customFormat="1" ht="12.75" x14ac:dyDescent="0.2">
      <c r="A11" s="566"/>
      <c r="B11" s="567"/>
      <c r="C11" s="567"/>
      <c r="D11" s="568"/>
      <c r="E11" s="568"/>
      <c r="F11" s="568"/>
      <c r="G11" s="568"/>
      <c r="H11" s="568"/>
      <c r="I11" s="568"/>
      <c r="J11" s="568"/>
      <c r="K11" s="568"/>
      <c r="L11" s="568"/>
      <c r="M11" s="568"/>
      <c r="N11" s="568"/>
      <c r="O11" s="568"/>
      <c r="P11" s="568"/>
      <c r="Q11" s="568"/>
      <c r="R11" s="569"/>
      <c r="S11" s="569"/>
      <c r="T11" s="569"/>
      <c r="U11" s="569"/>
      <c r="V11" s="569"/>
    </row>
    <row r="12" spans="1:34" s="570" customFormat="1" ht="12.75" x14ac:dyDescent="0.2">
      <c r="A12" s="566"/>
      <c r="B12" s="567"/>
      <c r="C12" s="567"/>
      <c r="D12" s="568"/>
      <c r="E12" s="568"/>
      <c r="F12" s="568"/>
      <c r="G12" s="568"/>
      <c r="H12" s="568"/>
      <c r="I12" s="568"/>
      <c r="J12" s="568"/>
      <c r="K12" s="568"/>
      <c r="L12" s="568"/>
      <c r="M12" s="568"/>
      <c r="N12" s="568"/>
      <c r="O12" s="568"/>
      <c r="P12" s="568"/>
      <c r="Q12" s="568"/>
      <c r="R12" s="569"/>
      <c r="S12" s="569"/>
      <c r="T12" s="569"/>
      <c r="U12" s="569"/>
      <c r="V12" s="569"/>
    </row>
    <row r="13" spans="1:34" s="570" customFormat="1" ht="12.75" x14ac:dyDescent="0.2">
      <c r="A13" s="566"/>
      <c r="B13" s="567"/>
      <c r="C13" s="567"/>
      <c r="D13" s="568"/>
      <c r="E13" s="568"/>
      <c r="F13" s="568"/>
      <c r="G13" s="568"/>
      <c r="H13" s="568"/>
      <c r="I13" s="568"/>
      <c r="J13" s="568"/>
      <c r="K13" s="568"/>
      <c r="L13" s="568"/>
      <c r="M13" s="568"/>
      <c r="N13" s="568"/>
      <c r="O13" s="568"/>
      <c r="P13" s="568"/>
      <c r="Q13" s="568"/>
      <c r="R13" s="569"/>
      <c r="S13" s="569"/>
      <c r="T13" s="569"/>
      <c r="U13" s="569"/>
      <c r="V13" s="569"/>
    </row>
    <row r="14" spans="1:34" s="570" customFormat="1" ht="12.75" x14ac:dyDescent="0.2">
      <c r="A14" s="566"/>
      <c r="B14" s="567"/>
      <c r="C14" s="567"/>
      <c r="D14" s="568"/>
      <c r="E14" s="568"/>
      <c r="F14" s="568"/>
      <c r="G14" s="568"/>
      <c r="H14" s="568"/>
      <c r="I14" s="568"/>
      <c r="J14" s="568"/>
      <c r="K14" s="568"/>
      <c r="L14" s="568"/>
      <c r="M14" s="568"/>
      <c r="N14" s="568"/>
      <c r="O14" s="568"/>
      <c r="P14" s="568"/>
      <c r="Q14" s="568"/>
      <c r="R14" s="569"/>
      <c r="S14" s="569"/>
      <c r="T14" s="569"/>
      <c r="U14" s="569"/>
      <c r="V14" s="569"/>
    </row>
    <row r="15" spans="1:34" s="570" customFormat="1" ht="12.75" x14ac:dyDescent="0.2">
      <c r="A15" s="566"/>
      <c r="B15" s="567"/>
      <c r="C15" s="567"/>
      <c r="D15" s="568"/>
      <c r="E15" s="568"/>
      <c r="F15" s="568"/>
      <c r="G15" s="568"/>
      <c r="H15" s="568"/>
      <c r="I15" s="568"/>
      <c r="J15" s="568"/>
      <c r="K15" s="568"/>
      <c r="L15" s="568"/>
      <c r="M15" s="568"/>
      <c r="N15" s="568"/>
      <c r="O15" s="568"/>
      <c r="P15" s="568"/>
      <c r="Q15" s="568"/>
      <c r="R15" s="569"/>
      <c r="S15" s="569"/>
      <c r="T15" s="569"/>
      <c r="U15" s="569"/>
      <c r="V15" s="569"/>
    </row>
    <row r="16" spans="1:34" s="570" customFormat="1" ht="18.75" customHeight="1" x14ac:dyDescent="0.25">
      <c r="A16" s="43"/>
      <c r="B16" s="790" t="s">
        <v>1461</v>
      </c>
      <c r="C16" s="791"/>
      <c r="D16" s="681"/>
      <c r="E16" s="681"/>
      <c r="F16" s="43"/>
      <c r="G16" s="43"/>
      <c r="H16" s="43"/>
      <c r="I16" s="573" t="s">
        <v>1462</v>
      </c>
      <c r="J16" s="43"/>
      <c r="K16" s="43"/>
      <c r="L16" s="43"/>
      <c r="M16" s="43"/>
      <c r="N16" s="43"/>
      <c r="O16" s="43"/>
      <c r="P16" s="43"/>
      <c r="Q16" s="43"/>
      <c r="R16" s="43"/>
      <c r="S16" s="569"/>
      <c r="T16" s="569"/>
      <c r="U16" s="569"/>
      <c r="V16" s="569"/>
    </row>
    <row r="17" spans="3:34" x14ac:dyDescent="0.25">
      <c r="W17" s="526"/>
      <c r="X17" s="526"/>
      <c r="Y17" s="526"/>
      <c r="Z17" s="526"/>
      <c r="AA17" s="526"/>
      <c r="AB17" s="526"/>
      <c r="AC17" s="526"/>
      <c r="AD17" s="526"/>
      <c r="AE17" s="526"/>
      <c r="AF17" s="526"/>
      <c r="AG17" s="526"/>
      <c r="AH17" s="526"/>
    </row>
    <row r="18" spans="3:34" x14ac:dyDescent="0.25">
      <c r="V18" s="571"/>
      <c r="W18" s="526"/>
      <c r="X18" s="526"/>
      <c r="Y18" s="526"/>
      <c r="Z18" s="526"/>
      <c r="AA18" s="526"/>
      <c r="AB18" s="526"/>
      <c r="AC18" s="526"/>
      <c r="AD18" s="526"/>
      <c r="AE18" s="526"/>
      <c r="AF18" s="526"/>
      <c r="AG18" s="526"/>
      <c r="AH18" s="526"/>
    </row>
    <row r="19" spans="3:34" x14ac:dyDescent="0.25">
      <c r="W19" s="526"/>
      <c r="X19" s="526"/>
      <c r="Y19" s="526"/>
      <c r="Z19" s="526"/>
      <c r="AA19" s="526"/>
      <c r="AB19" s="526"/>
      <c r="AC19" s="526"/>
      <c r="AD19" s="526"/>
      <c r="AE19" s="526"/>
      <c r="AF19" s="526"/>
      <c r="AG19" s="526"/>
      <c r="AH19" s="526"/>
    </row>
    <row r="20" spans="3:34" x14ac:dyDescent="0.25">
      <c r="W20" s="526"/>
      <c r="X20" s="526"/>
      <c r="Y20" s="526"/>
      <c r="Z20" s="526"/>
      <c r="AA20" s="526"/>
      <c r="AB20" s="526"/>
      <c r="AC20" s="526"/>
      <c r="AD20" s="526"/>
      <c r="AE20" s="526"/>
      <c r="AF20" s="526"/>
      <c r="AG20" s="526"/>
      <c r="AH20" s="526"/>
    </row>
    <row r="21" spans="3:34" x14ac:dyDescent="0.25">
      <c r="D21" s="571"/>
      <c r="E21" s="571"/>
      <c r="F21" s="571"/>
      <c r="G21" s="571"/>
      <c r="H21" s="571"/>
      <c r="I21" s="571"/>
      <c r="J21" s="571"/>
      <c r="K21" s="571"/>
      <c r="W21" s="526"/>
      <c r="X21" s="526"/>
      <c r="Y21" s="526"/>
      <c r="Z21" s="526"/>
      <c r="AA21" s="526"/>
      <c r="AB21" s="526"/>
      <c r="AC21" s="526"/>
      <c r="AD21" s="526"/>
      <c r="AE21" s="526"/>
      <c r="AF21" s="526"/>
      <c r="AG21" s="526"/>
      <c r="AH21" s="526"/>
    </row>
    <row r="22" spans="3:34" x14ac:dyDescent="0.25">
      <c r="W22" s="526"/>
      <c r="X22" s="526"/>
      <c r="Y22" s="526"/>
      <c r="Z22" s="526"/>
      <c r="AA22" s="526"/>
      <c r="AB22" s="526"/>
      <c r="AC22" s="526"/>
      <c r="AD22" s="526"/>
      <c r="AE22" s="526"/>
      <c r="AF22" s="526"/>
      <c r="AG22" s="526"/>
      <c r="AH22" s="526"/>
    </row>
    <row r="23" spans="3:34" x14ac:dyDescent="0.25">
      <c r="W23" s="526"/>
      <c r="X23" s="526"/>
      <c r="Y23" s="526"/>
      <c r="Z23" s="526"/>
      <c r="AA23" s="526"/>
      <c r="AB23" s="526"/>
      <c r="AC23" s="526"/>
      <c r="AD23" s="526"/>
      <c r="AE23" s="526"/>
      <c r="AF23" s="526"/>
      <c r="AG23" s="526"/>
      <c r="AH23" s="526"/>
    </row>
    <row r="24" spans="3:34" x14ac:dyDescent="0.25">
      <c r="C24" s="572"/>
      <c r="W24" s="526"/>
      <c r="X24" s="526"/>
      <c r="Y24" s="526"/>
      <c r="Z24" s="526"/>
      <c r="AA24" s="526"/>
      <c r="AB24" s="526"/>
      <c r="AC24" s="526"/>
      <c r="AD24" s="526"/>
      <c r="AE24" s="526"/>
      <c r="AF24" s="526"/>
      <c r="AG24" s="526"/>
      <c r="AH24" s="526"/>
    </row>
    <row r="25" spans="3:34" x14ac:dyDescent="0.25">
      <c r="W25" s="526"/>
      <c r="X25" s="526"/>
      <c r="Y25" s="526"/>
      <c r="Z25" s="526"/>
      <c r="AA25" s="526"/>
      <c r="AB25" s="526"/>
      <c r="AC25" s="526"/>
      <c r="AD25" s="526"/>
      <c r="AE25" s="526"/>
      <c r="AF25" s="526"/>
      <c r="AG25" s="526"/>
      <c r="AH25" s="526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6:E16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36" activePane="bottomRight" state="frozen"/>
      <selection activeCell="D41" sqref="D41"/>
      <selection pane="topRight" activeCell="D41" sqref="D41"/>
      <selection pane="bottomLeft" activeCell="D41" sqref="D41"/>
      <selection pane="bottomRight" activeCell="D41" sqref="D41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5" width="15.7109375" style="8" hidden="1" customWidth="1"/>
    <col min="16" max="16" width="15.7109375" style="8" customWidth="1"/>
    <col min="17" max="23" width="15.7109375" style="8" hidden="1" customWidth="1"/>
    <col min="24" max="24" width="13.140625" style="8" customWidth="1"/>
    <col min="25" max="16384" width="9.140625" style="8"/>
  </cols>
  <sheetData>
    <row r="2" spans="1:27" x14ac:dyDescent="0.25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</row>
    <row r="3" spans="1:27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</row>
    <row r="4" spans="1:27" ht="15.75" x14ac:dyDescent="0.25">
      <c r="A4" s="393"/>
      <c r="B4" s="394" t="s">
        <v>1411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 x14ac:dyDescent="0.25">
      <c r="A5" s="393"/>
      <c r="B5" s="393" t="s">
        <v>1355</v>
      </c>
      <c r="C5" s="393" t="str">
        <f>IF('Расчет стоимости'!C5="","",'Расчет стоимости'!C5)</f>
        <v>I_007-55-1-01.32-1876</v>
      </c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</row>
    <row r="6" spans="1:27" ht="45" customHeight="1" x14ac:dyDescent="0.25">
      <c r="A6" s="393"/>
      <c r="B6" s="395" t="s">
        <v>1192</v>
      </c>
      <c r="C6" s="621" t="str">
        <f>IF('Расчет стоимости'!C6="","",'Расчет стоимости'!C6)</f>
        <v xml:space="preserve">Реконструкция ВЛ 10 кВ яч.5Д ПС 110/10 кВ «Мордино» с заменой неизолированного провода на СИП протяженностью 14,75 км  в Корткеросском районе </v>
      </c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3"/>
      <c r="Y6" s="393"/>
      <c r="Z6" s="393"/>
      <c r="AA6" s="393"/>
    </row>
    <row r="7" spans="1:27" x14ac:dyDescent="0.25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</row>
    <row r="8" spans="1:27" x14ac:dyDescent="0.25">
      <c r="A8" s="393"/>
      <c r="B8" s="393" t="s">
        <v>0</v>
      </c>
      <c r="C8" s="622" t="str">
        <f>IF('Расчет стоимости'!C11="","",'Расчет стоимости'!C11)</f>
        <v>Республика Коми</v>
      </c>
      <c r="D8" s="622"/>
      <c r="E8" s="622"/>
      <c r="F8" s="622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</row>
    <row r="9" spans="1:27" x14ac:dyDescent="0.25">
      <c r="A9" s="393"/>
      <c r="B9" s="393" t="s">
        <v>501</v>
      </c>
      <c r="C9" s="393"/>
      <c r="D9" s="393"/>
      <c r="E9" s="247">
        <v>2023</v>
      </c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</row>
    <row r="10" spans="1:27" x14ac:dyDescent="0.25">
      <c r="A10" s="393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393"/>
      <c r="B11" s="393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</row>
    <row r="12" spans="1:27" ht="30" customHeight="1" x14ac:dyDescent="0.25">
      <c r="A12" s="393"/>
      <c r="B12" s="393"/>
      <c r="C12" s="625" t="s">
        <v>481</v>
      </c>
      <c r="D12" s="623" t="s">
        <v>502</v>
      </c>
      <c r="E12" s="397" t="s">
        <v>2</v>
      </c>
      <c r="F12" s="626" t="s">
        <v>503</v>
      </c>
      <c r="G12" s="627"/>
      <c r="H12" s="627"/>
      <c r="I12" s="627"/>
      <c r="J12" s="627"/>
      <c r="K12" s="627"/>
      <c r="L12" s="627"/>
      <c r="M12" s="627"/>
      <c r="N12" s="627"/>
      <c r="O12" s="627"/>
      <c r="P12" s="627"/>
      <c r="Q12" s="627"/>
      <c r="R12" s="627"/>
      <c r="S12" s="627"/>
      <c r="T12" s="627"/>
      <c r="U12" s="627"/>
      <c r="V12" s="627"/>
      <c r="W12" s="628"/>
      <c r="X12" s="624" t="s">
        <v>1246</v>
      </c>
      <c r="Y12" s="393"/>
      <c r="Z12" s="393"/>
      <c r="AA12" s="393"/>
    </row>
    <row r="13" spans="1:27" x14ac:dyDescent="0.25">
      <c r="A13" s="393"/>
      <c r="B13" s="393"/>
      <c r="C13" s="625"/>
      <c r="D13" s="623"/>
      <c r="E13" s="398" t="s">
        <v>82</v>
      </c>
      <c r="F13" s="371" t="s">
        <v>82</v>
      </c>
      <c r="G13" s="399">
        <v>2014</v>
      </c>
      <c r="H13" s="399">
        <v>2015</v>
      </c>
      <c r="I13" s="399">
        <v>2016</v>
      </c>
      <c r="J13" s="399">
        <v>2017</v>
      </c>
      <c r="K13" s="399">
        <v>2018</v>
      </c>
      <c r="L13" s="399">
        <v>2019</v>
      </c>
      <c r="M13" s="399">
        <v>2020</v>
      </c>
      <c r="N13" s="399">
        <v>2021</v>
      </c>
      <c r="O13" s="399">
        <v>2022</v>
      </c>
      <c r="P13" s="399">
        <v>2023</v>
      </c>
      <c r="Q13" s="399">
        <v>2024</v>
      </c>
      <c r="R13" s="399">
        <v>2025</v>
      </c>
      <c r="S13" s="399">
        <v>2026</v>
      </c>
      <c r="T13" s="399">
        <v>2027</v>
      </c>
      <c r="U13" s="399">
        <v>2028</v>
      </c>
      <c r="V13" s="399">
        <v>2029</v>
      </c>
      <c r="W13" s="399">
        <v>2030</v>
      </c>
      <c r="X13" s="624"/>
      <c r="Y13" s="393"/>
      <c r="Z13" s="393"/>
      <c r="AA13" s="393"/>
    </row>
    <row r="14" spans="1:27" x14ac:dyDescent="0.25">
      <c r="A14" s="393"/>
      <c r="B14" s="393"/>
      <c r="C14" s="400"/>
      <c r="D14" s="400" t="s">
        <v>499</v>
      </c>
      <c r="E14" s="401"/>
      <c r="F14" s="401"/>
      <c r="G14" s="402">
        <v>0.92500000000000004</v>
      </c>
      <c r="H14" s="402">
        <v>0.85</v>
      </c>
      <c r="I14" s="402">
        <v>0.77500000000000002</v>
      </c>
      <c r="J14" s="402">
        <v>0.7</v>
      </c>
      <c r="K14" s="402">
        <v>0.7</v>
      </c>
      <c r="L14" s="402">
        <v>0.7</v>
      </c>
      <c r="M14" s="402">
        <v>0.7</v>
      </c>
      <c r="N14" s="402">
        <v>0.7</v>
      </c>
      <c r="O14" s="402">
        <v>0.7</v>
      </c>
      <c r="P14" s="402">
        <v>0.7</v>
      </c>
      <c r="Q14" s="402">
        <v>0.7</v>
      </c>
      <c r="R14" s="402">
        <v>0.7</v>
      </c>
      <c r="S14" s="402">
        <v>0.7</v>
      </c>
      <c r="T14" s="402">
        <v>0.7</v>
      </c>
      <c r="U14" s="402">
        <v>0.7</v>
      </c>
      <c r="V14" s="402">
        <v>0.7</v>
      </c>
      <c r="W14" s="402">
        <v>0.7</v>
      </c>
      <c r="X14" s="624"/>
      <c r="Y14" s="393"/>
      <c r="Z14" s="393"/>
      <c r="AA14" s="393"/>
    </row>
    <row r="15" spans="1:27" x14ac:dyDescent="0.25">
      <c r="A15" s="393"/>
      <c r="B15" s="393"/>
      <c r="C15" s="629"/>
      <c r="D15" s="631" t="s">
        <v>500</v>
      </c>
      <c r="E15" s="632"/>
      <c r="F15" s="403" t="s">
        <v>1312</v>
      </c>
      <c r="G15" s="402">
        <f>(106*104.9)/100</f>
        <v>111.19400000000002</v>
      </c>
      <c r="H15" s="404">
        <v>114.3</v>
      </c>
      <c r="I15" s="404">
        <v>106.3</v>
      </c>
      <c r="J15" s="404">
        <v>104.4</v>
      </c>
      <c r="K15" s="404">
        <v>104.6</v>
      </c>
      <c r="L15" s="404">
        <v>104.4</v>
      </c>
      <c r="M15" s="404">
        <v>104.2</v>
      </c>
      <c r="N15" s="404">
        <v>104.2</v>
      </c>
      <c r="O15" s="404">
        <v>104.2</v>
      </c>
      <c r="P15" s="404">
        <v>104.2</v>
      </c>
      <c r="Q15" s="404">
        <v>104.2</v>
      </c>
      <c r="R15" s="404">
        <v>104.2</v>
      </c>
      <c r="S15" s="404">
        <v>104.2</v>
      </c>
      <c r="T15" s="404">
        <v>104.2</v>
      </c>
      <c r="U15" s="404">
        <v>104.2</v>
      </c>
      <c r="V15" s="404">
        <v>104.2</v>
      </c>
      <c r="W15" s="404">
        <v>104.2</v>
      </c>
      <c r="X15" s="624"/>
      <c r="Y15" s="393"/>
      <c r="Z15" s="393"/>
      <c r="AA15" s="393"/>
    </row>
    <row r="16" spans="1:27" x14ac:dyDescent="0.25">
      <c r="A16" s="393"/>
      <c r="B16" s="393"/>
      <c r="C16" s="630"/>
      <c r="D16" s="633"/>
      <c r="E16" s="634"/>
      <c r="F16" s="403" t="s">
        <v>1313</v>
      </c>
      <c r="G16" s="248">
        <f>G15%</f>
        <v>1.1119400000000002</v>
      </c>
      <c r="H16" s="248">
        <f>G16*H15%</f>
        <v>1.2709474200000002</v>
      </c>
      <c r="I16" s="248">
        <f>H16*I15%</f>
        <v>1.3510171074600001</v>
      </c>
      <c r="J16" s="248">
        <f t="shared" ref="J16:W16" si="0">I16*J15%</f>
        <v>1.4104618601882402</v>
      </c>
      <c r="K16" s="248">
        <f t="shared" si="0"/>
        <v>1.4753431057568993</v>
      </c>
      <c r="L16" s="248">
        <f t="shared" si="0"/>
        <v>1.5402582024102029</v>
      </c>
      <c r="M16" s="248">
        <f t="shared" si="0"/>
        <v>1.6049490469114316</v>
      </c>
      <c r="N16" s="248">
        <f t="shared" si="0"/>
        <v>1.6723569068817117</v>
      </c>
      <c r="O16" s="248">
        <f t="shared" si="0"/>
        <v>1.7425958969707436</v>
      </c>
      <c r="P16" s="248">
        <f t="shared" si="0"/>
        <v>1.8157849246435149</v>
      </c>
      <c r="Q16" s="248">
        <f t="shared" si="0"/>
        <v>1.8920478914785426</v>
      </c>
      <c r="R16" s="248">
        <f t="shared" si="0"/>
        <v>1.9715139029206414</v>
      </c>
      <c r="S16" s="248">
        <f t="shared" si="0"/>
        <v>2.0543174868433085</v>
      </c>
      <c r="T16" s="248">
        <f t="shared" si="0"/>
        <v>2.1405988212907276</v>
      </c>
      <c r="U16" s="248">
        <f t="shared" si="0"/>
        <v>2.2305039717849384</v>
      </c>
      <c r="V16" s="248">
        <f t="shared" si="0"/>
        <v>2.3241851385999057</v>
      </c>
      <c r="W16" s="248">
        <f t="shared" si="0"/>
        <v>2.4218009144211017</v>
      </c>
      <c r="X16" s="624"/>
      <c r="Y16" s="393"/>
      <c r="Z16" s="393"/>
      <c r="AA16" s="393"/>
    </row>
    <row r="17" spans="1:27" x14ac:dyDescent="0.25">
      <c r="A17" s="393"/>
      <c r="B17" s="393"/>
      <c r="C17" s="405" t="s">
        <v>246</v>
      </c>
      <c r="D17" s="406">
        <f ca="1">SUM(D18:D35)</f>
        <v>6855.45</v>
      </c>
      <c r="E17" s="406"/>
      <c r="F17" s="407">
        <f ca="1">SUM(F18:F35)</f>
        <v>30546.87</v>
      </c>
      <c r="G17" s="407">
        <f t="shared" ref="G17:W17" si="1">IF(SUM(G18:G35)=0,0,SUM(G18:G35))</f>
        <v>0</v>
      </c>
      <c r="H17" s="407">
        <f t="shared" si="1"/>
        <v>0</v>
      </c>
      <c r="I17" s="407">
        <f t="shared" si="1"/>
        <v>0</v>
      </c>
      <c r="J17" s="407">
        <f t="shared" si="1"/>
        <v>0</v>
      </c>
      <c r="K17" s="407">
        <f t="shared" si="1"/>
        <v>0</v>
      </c>
      <c r="L17" s="407">
        <f t="shared" si="1"/>
        <v>0</v>
      </c>
      <c r="M17" s="407">
        <f t="shared" si="1"/>
        <v>0</v>
      </c>
      <c r="N17" s="407">
        <f t="shared" si="1"/>
        <v>0</v>
      </c>
      <c r="O17" s="407">
        <f t="shared" si="1"/>
        <v>0</v>
      </c>
      <c r="P17" s="407">
        <f t="shared" ca="1" si="1"/>
        <v>55466.549999999996</v>
      </c>
      <c r="Q17" s="407">
        <f t="shared" si="1"/>
        <v>0</v>
      </c>
      <c r="R17" s="407">
        <f t="shared" si="1"/>
        <v>0</v>
      </c>
      <c r="S17" s="407">
        <f t="shared" si="1"/>
        <v>0</v>
      </c>
      <c r="T17" s="407">
        <f t="shared" si="1"/>
        <v>0</v>
      </c>
      <c r="U17" s="407">
        <f t="shared" si="1"/>
        <v>0</v>
      </c>
      <c r="V17" s="407">
        <f t="shared" si="1"/>
        <v>0</v>
      </c>
      <c r="W17" s="407">
        <f t="shared" si="1"/>
        <v>0</v>
      </c>
      <c r="X17" s="407">
        <f ca="1">SUM(X18:X35)</f>
        <v>38826.58</v>
      </c>
      <c r="Y17" s="393"/>
      <c r="Z17" s="393"/>
      <c r="AA17" s="393"/>
    </row>
    <row r="18" spans="1:27" ht="30" x14ac:dyDescent="0.25">
      <c r="A18" s="393"/>
      <c r="B18" s="393"/>
      <c r="C18" s="408" t="str">
        <f>'Расчет стоимости'!C355</f>
        <v>Проектно-изыскательские работы ВЛ</v>
      </c>
      <c r="D18" s="409">
        <f ca="1">'Расчет стоимости'!I329</f>
        <v>482.63</v>
      </c>
      <c r="E18" s="409">
        <f>'Расчет стоимости'!E329</f>
        <v>3.53</v>
      </c>
      <c r="F18" s="410">
        <f ca="1">ROUND(D18*E18,2)</f>
        <v>1703.68</v>
      </c>
      <c r="G18" s="410" t="str">
        <f t="shared" ref="G18:P27" si="2">IF($E$9=G$13,ROUND($F18*G$16,2),"")</f>
        <v/>
      </c>
      <c r="H18" s="410" t="str">
        <f t="shared" si="2"/>
        <v/>
      </c>
      <c r="I18" s="410" t="str">
        <f t="shared" si="2"/>
        <v/>
      </c>
      <c r="J18" s="410" t="str">
        <f t="shared" si="2"/>
        <v/>
      </c>
      <c r="K18" s="410" t="str">
        <f t="shared" si="2"/>
        <v/>
      </c>
      <c r="L18" s="410" t="str">
        <f t="shared" si="2"/>
        <v/>
      </c>
      <c r="M18" s="410" t="str">
        <f t="shared" si="2"/>
        <v/>
      </c>
      <c r="N18" s="410" t="str">
        <f t="shared" si="2"/>
        <v/>
      </c>
      <c r="O18" s="410" t="str">
        <f t="shared" si="2"/>
        <v/>
      </c>
      <c r="P18" s="410">
        <f t="shared" ca="1" si="2"/>
        <v>3093.52</v>
      </c>
      <c r="Q18" s="410" t="str">
        <f t="shared" ref="Q18:W27" si="3">IF($E$9=Q$13,ROUND($F18*Q$16,2),"")</f>
        <v/>
      </c>
      <c r="R18" s="410" t="str">
        <f t="shared" si="3"/>
        <v/>
      </c>
      <c r="S18" s="410" t="str">
        <f t="shared" si="3"/>
        <v/>
      </c>
      <c r="T18" s="410" t="str">
        <f t="shared" si="3"/>
        <v/>
      </c>
      <c r="U18" s="410" t="str">
        <f t="shared" si="3"/>
        <v/>
      </c>
      <c r="V18" s="410" t="str">
        <f t="shared" si="3"/>
        <v/>
      </c>
      <c r="W18" s="410" t="str">
        <f t="shared" si="3"/>
        <v/>
      </c>
      <c r="X18" s="410">
        <f t="shared" ref="X18:X35" ca="1" si="4">ROUND(IFERROR(HLOOKUP($E$9,$G$13:$W$14,2,FALSE),1)*SUM(G18:W18),2)</f>
        <v>2165.46</v>
      </c>
      <c r="Y18" s="393"/>
      <c r="Z18" s="393"/>
      <c r="AA18" s="393"/>
    </row>
    <row r="19" spans="1:27" ht="30" hidden="1" x14ac:dyDescent="0.25">
      <c r="A19" s="393"/>
      <c r="B19" s="393"/>
      <c r="C19" s="408" t="str">
        <f>'Расчет стоимости'!C356</f>
        <v>Проектно-изыскательские работы КЛ</v>
      </c>
      <c r="D19" s="409">
        <f ca="1">'Расчет стоимости'!I330</f>
        <v>0</v>
      </c>
      <c r="E19" s="409">
        <f>'Расчет стоимости'!E330</f>
        <v>3.53</v>
      </c>
      <c r="F19" s="410">
        <f t="shared" ref="F19:F35" ca="1" si="5">ROUND(D19*E19,2)</f>
        <v>0</v>
      </c>
      <c r="G19" s="410" t="str">
        <f t="shared" si="2"/>
        <v/>
      </c>
      <c r="H19" s="410" t="str">
        <f t="shared" si="2"/>
        <v/>
      </c>
      <c r="I19" s="410" t="str">
        <f t="shared" si="2"/>
        <v/>
      </c>
      <c r="J19" s="410" t="str">
        <f t="shared" si="2"/>
        <v/>
      </c>
      <c r="K19" s="410" t="str">
        <f t="shared" si="2"/>
        <v/>
      </c>
      <c r="L19" s="410" t="str">
        <f t="shared" si="2"/>
        <v/>
      </c>
      <c r="M19" s="410" t="str">
        <f t="shared" si="2"/>
        <v/>
      </c>
      <c r="N19" s="410" t="str">
        <f t="shared" si="2"/>
        <v/>
      </c>
      <c r="O19" s="410" t="str">
        <f t="shared" si="2"/>
        <v/>
      </c>
      <c r="P19" s="410">
        <f t="shared" ca="1" si="2"/>
        <v>0</v>
      </c>
      <c r="Q19" s="410" t="str">
        <f t="shared" si="3"/>
        <v/>
      </c>
      <c r="R19" s="410" t="str">
        <f t="shared" si="3"/>
        <v/>
      </c>
      <c r="S19" s="410" t="str">
        <f t="shared" si="3"/>
        <v/>
      </c>
      <c r="T19" s="410" t="str">
        <f t="shared" si="3"/>
        <v/>
      </c>
      <c r="U19" s="410" t="str">
        <f t="shared" si="3"/>
        <v/>
      </c>
      <c r="V19" s="410" t="str">
        <f t="shared" si="3"/>
        <v/>
      </c>
      <c r="W19" s="410" t="str">
        <f t="shared" si="3"/>
        <v/>
      </c>
      <c r="X19" s="410">
        <f t="shared" ca="1" si="4"/>
        <v>0</v>
      </c>
      <c r="Y19" s="393"/>
      <c r="Z19" s="393"/>
      <c r="AA19" s="393"/>
    </row>
    <row r="20" spans="1:27" ht="30" hidden="1" x14ac:dyDescent="0.25">
      <c r="A20" s="393"/>
      <c r="B20" s="393"/>
      <c r="C20" s="408" t="str">
        <f>'Расчет стоимости'!C357</f>
        <v>Проектно-изыскательские работы ПС</v>
      </c>
      <c r="D20" s="409">
        <f ca="1">'Расчет стоимости'!I331</f>
        <v>0</v>
      </c>
      <c r="E20" s="409">
        <f>'Расчет стоимости'!E331</f>
        <v>3.53</v>
      </c>
      <c r="F20" s="410">
        <f t="shared" ca="1" si="5"/>
        <v>0</v>
      </c>
      <c r="G20" s="410" t="str">
        <f t="shared" si="2"/>
        <v/>
      </c>
      <c r="H20" s="410" t="str">
        <f t="shared" si="2"/>
        <v/>
      </c>
      <c r="I20" s="410" t="str">
        <f t="shared" si="2"/>
        <v/>
      </c>
      <c r="J20" s="410" t="str">
        <f t="shared" si="2"/>
        <v/>
      </c>
      <c r="K20" s="410" t="str">
        <f t="shared" si="2"/>
        <v/>
      </c>
      <c r="L20" s="410" t="str">
        <f t="shared" si="2"/>
        <v/>
      </c>
      <c r="M20" s="410" t="str">
        <f t="shared" si="2"/>
        <v/>
      </c>
      <c r="N20" s="410" t="str">
        <f t="shared" si="2"/>
        <v/>
      </c>
      <c r="O20" s="410" t="str">
        <f t="shared" si="2"/>
        <v/>
      </c>
      <c r="P20" s="410">
        <f t="shared" ca="1" si="2"/>
        <v>0</v>
      </c>
      <c r="Q20" s="410" t="str">
        <f t="shared" si="3"/>
        <v/>
      </c>
      <c r="R20" s="410" t="str">
        <f t="shared" si="3"/>
        <v/>
      </c>
      <c r="S20" s="410" t="str">
        <f t="shared" si="3"/>
        <v/>
      </c>
      <c r="T20" s="410" t="str">
        <f t="shared" si="3"/>
        <v/>
      </c>
      <c r="U20" s="410" t="str">
        <f t="shared" si="3"/>
        <v/>
      </c>
      <c r="V20" s="410" t="str">
        <f t="shared" si="3"/>
        <v/>
      </c>
      <c r="W20" s="410" t="str">
        <f t="shared" si="3"/>
        <v/>
      </c>
      <c r="X20" s="410">
        <f t="shared" ca="1" si="4"/>
        <v>0</v>
      </c>
      <c r="Y20" s="393"/>
      <c r="Z20" s="393"/>
      <c r="AA20" s="393"/>
    </row>
    <row r="21" spans="1:27" x14ac:dyDescent="0.25">
      <c r="A21" s="393"/>
      <c r="B21" s="393"/>
      <c r="C21" s="408" t="str">
        <f>'Расчет стоимости'!C358</f>
        <v>СМР по ВЛ до 20 кВ</v>
      </c>
      <c r="D21" s="409">
        <f ca="1">'Расчет стоимости'!I332</f>
        <v>5484.36</v>
      </c>
      <c r="E21" s="409">
        <f>'Расчет стоимости'!E332</f>
        <v>4.21</v>
      </c>
      <c r="F21" s="410">
        <f t="shared" ca="1" si="5"/>
        <v>23089.16</v>
      </c>
      <c r="G21" s="410" t="str">
        <f t="shared" si="2"/>
        <v/>
      </c>
      <c r="H21" s="410" t="str">
        <f t="shared" si="2"/>
        <v/>
      </c>
      <c r="I21" s="410" t="str">
        <f t="shared" si="2"/>
        <v/>
      </c>
      <c r="J21" s="410" t="str">
        <f t="shared" si="2"/>
        <v/>
      </c>
      <c r="K21" s="410" t="str">
        <f t="shared" si="2"/>
        <v/>
      </c>
      <c r="L21" s="410" t="str">
        <f t="shared" si="2"/>
        <v/>
      </c>
      <c r="M21" s="410" t="str">
        <f t="shared" si="2"/>
        <v/>
      </c>
      <c r="N21" s="410" t="str">
        <f t="shared" si="2"/>
        <v/>
      </c>
      <c r="O21" s="410" t="str">
        <f t="shared" si="2"/>
        <v/>
      </c>
      <c r="P21" s="410">
        <f t="shared" ca="1" si="2"/>
        <v>41924.949999999997</v>
      </c>
      <c r="Q21" s="410" t="str">
        <f t="shared" si="3"/>
        <v/>
      </c>
      <c r="R21" s="410" t="str">
        <f t="shared" si="3"/>
        <v/>
      </c>
      <c r="S21" s="410" t="str">
        <f t="shared" si="3"/>
        <v/>
      </c>
      <c r="T21" s="410" t="str">
        <f t="shared" si="3"/>
        <v/>
      </c>
      <c r="U21" s="410" t="str">
        <f t="shared" si="3"/>
        <v/>
      </c>
      <c r="V21" s="410" t="str">
        <f t="shared" si="3"/>
        <v/>
      </c>
      <c r="W21" s="410" t="str">
        <f t="shared" si="3"/>
        <v/>
      </c>
      <c r="X21" s="410">
        <f t="shared" ca="1" si="4"/>
        <v>29347.47</v>
      </c>
      <c r="Y21" s="393"/>
      <c r="Z21" s="393"/>
      <c r="AA21" s="393"/>
    </row>
    <row r="22" spans="1:27" hidden="1" x14ac:dyDescent="0.25">
      <c r="A22" s="393"/>
      <c r="B22" s="393"/>
      <c r="C22" s="408" t="str">
        <f>'Расчет стоимости'!C359</f>
        <v>СМР по ВЛ 35 кВ и выше</v>
      </c>
      <c r="D22" s="409">
        <f ca="1">'Расчет стоимости'!I333</f>
        <v>0</v>
      </c>
      <c r="E22" s="409">
        <f>'Расчет стоимости'!E333</f>
        <v>4.21</v>
      </c>
      <c r="F22" s="410">
        <f ca="1">ROUND(D22*E22,2)</f>
        <v>0</v>
      </c>
      <c r="G22" s="410" t="str">
        <f t="shared" si="2"/>
        <v/>
      </c>
      <c r="H22" s="410" t="str">
        <f t="shared" si="2"/>
        <v/>
      </c>
      <c r="I22" s="410" t="str">
        <f t="shared" si="2"/>
        <v/>
      </c>
      <c r="J22" s="410" t="str">
        <f t="shared" si="2"/>
        <v/>
      </c>
      <c r="K22" s="410" t="str">
        <f t="shared" si="2"/>
        <v/>
      </c>
      <c r="L22" s="410" t="str">
        <f t="shared" si="2"/>
        <v/>
      </c>
      <c r="M22" s="410" t="str">
        <f t="shared" si="2"/>
        <v/>
      </c>
      <c r="N22" s="410" t="str">
        <f t="shared" si="2"/>
        <v/>
      </c>
      <c r="O22" s="410" t="str">
        <f t="shared" si="2"/>
        <v/>
      </c>
      <c r="P22" s="410">
        <f t="shared" ca="1" si="2"/>
        <v>0</v>
      </c>
      <c r="Q22" s="410" t="str">
        <f t="shared" si="3"/>
        <v/>
      </c>
      <c r="R22" s="410" t="str">
        <f t="shared" si="3"/>
        <v/>
      </c>
      <c r="S22" s="410" t="str">
        <f t="shared" si="3"/>
        <v/>
      </c>
      <c r="T22" s="410" t="str">
        <f t="shared" si="3"/>
        <v/>
      </c>
      <c r="U22" s="410" t="str">
        <f t="shared" si="3"/>
        <v/>
      </c>
      <c r="V22" s="410" t="str">
        <f t="shared" si="3"/>
        <v/>
      </c>
      <c r="W22" s="410" t="str">
        <f t="shared" si="3"/>
        <v/>
      </c>
      <c r="X22" s="410">
        <f t="shared" ca="1" si="4"/>
        <v>0</v>
      </c>
      <c r="Y22" s="393"/>
      <c r="Z22" s="393"/>
      <c r="AA22" s="393"/>
    </row>
    <row r="23" spans="1:27" hidden="1" x14ac:dyDescent="0.25">
      <c r="A23" s="393"/>
      <c r="B23" s="393"/>
      <c r="C23" s="408" t="str">
        <f>'Расчет стоимости'!C362</f>
        <v>СМР по ТП до 10 кВ</v>
      </c>
      <c r="D23" s="409">
        <f ca="1">'Расчет стоимости'!I336</f>
        <v>0</v>
      </c>
      <c r="E23" s="409">
        <f>'Расчет стоимости'!E336</f>
        <v>6.35</v>
      </c>
      <c r="F23" s="410">
        <f t="shared" ca="1" si="5"/>
        <v>0</v>
      </c>
      <c r="G23" s="410" t="str">
        <f t="shared" si="2"/>
        <v/>
      </c>
      <c r="H23" s="410" t="str">
        <f t="shared" si="2"/>
        <v/>
      </c>
      <c r="I23" s="410" t="str">
        <f t="shared" si="2"/>
        <v/>
      </c>
      <c r="J23" s="410" t="str">
        <f t="shared" si="2"/>
        <v/>
      </c>
      <c r="K23" s="410" t="str">
        <f t="shared" si="2"/>
        <v/>
      </c>
      <c r="L23" s="410" t="str">
        <f t="shared" si="2"/>
        <v/>
      </c>
      <c r="M23" s="410" t="str">
        <f t="shared" si="2"/>
        <v/>
      </c>
      <c r="N23" s="410" t="str">
        <f t="shared" si="2"/>
        <v/>
      </c>
      <c r="O23" s="410" t="str">
        <f t="shared" si="2"/>
        <v/>
      </c>
      <c r="P23" s="410">
        <f t="shared" ca="1" si="2"/>
        <v>0</v>
      </c>
      <c r="Q23" s="410" t="str">
        <f t="shared" si="3"/>
        <v/>
      </c>
      <c r="R23" s="410" t="str">
        <f t="shared" si="3"/>
        <v/>
      </c>
      <c r="S23" s="410" t="str">
        <f t="shared" si="3"/>
        <v/>
      </c>
      <c r="T23" s="410" t="str">
        <f t="shared" si="3"/>
        <v/>
      </c>
      <c r="U23" s="410" t="str">
        <f t="shared" si="3"/>
        <v/>
      </c>
      <c r="V23" s="410" t="str">
        <f t="shared" si="3"/>
        <v/>
      </c>
      <c r="W23" s="410" t="str">
        <f t="shared" si="3"/>
        <v/>
      </c>
      <c r="X23" s="410">
        <f t="shared" ca="1" si="4"/>
        <v>0</v>
      </c>
      <c r="Y23" s="393"/>
      <c r="Z23" s="393"/>
      <c r="AA23" s="393"/>
    </row>
    <row r="24" spans="1:27" hidden="1" x14ac:dyDescent="0.25">
      <c r="A24" s="393"/>
      <c r="B24" s="393"/>
      <c r="C24" s="408" t="str">
        <f>'Расчет стоимости'!C360</f>
        <v>СМР по КЛ до 10 кВ</v>
      </c>
      <c r="D24" s="409">
        <f ca="1">'Расчет стоимости'!I334</f>
        <v>0</v>
      </c>
      <c r="E24" s="409">
        <f>'Расчет стоимости'!E334</f>
        <v>4.1500000000000004</v>
      </c>
      <c r="F24" s="410">
        <f t="shared" ca="1" si="5"/>
        <v>0</v>
      </c>
      <c r="G24" s="410" t="str">
        <f t="shared" si="2"/>
        <v/>
      </c>
      <c r="H24" s="410" t="str">
        <f t="shared" si="2"/>
        <v/>
      </c>
      <c r="I24" s="410" t="str">
        <f t="shared" si="2"/>
        <v/>
      </c>
      <c r="J24" s="410" t="str">
        <f t="shared" si="2"/>
        <v/>
      </c>
      <c r="K24" s="410" t="str">
        <f t="shared" si="2"/>
        <v/>
      </c>
      <c r="L24" s="410" t="str">
        <f t="shared" si="2"/>
        <v/>
      </c>
      <c r="M24" s="410" t="str">
        <f t="shared" si="2"/>
        <v/>
      </c>
      <c r="N24" s="410" t="str">
        <f t="shared" si="2"/>
        <v/>
      </c>
      <c r="O24" s="410" t="str">
        <f t="shared" si="2"/>
        <v/>
      </c>
      <c r="P24" s="410">
        <f t="shared" ca="1" si="2"/>
        <v>0</v>
      </c>
      <c r="Q24" s="410" t="str">
        <f t="shared" si="3"/>
        <v/>
      </c>
      <c r="R24" s="410" t="str">
        <f t="shared" si="3"/>
        <v/>
      </c>
      <c r="S24" s="410" t="str">
        <f t="shared" si="3"/>
        <v/>
      </c>
      <c r="T24" s="410" t="str">
        <f t="shared" si="3"/>
        <v/>
      </c>
      <c r="U24" s="410" t="str">
        <f t="shared" si="3"/>
        <v/>
      </c>
      <c r="V24" s="410" t="str">
        <f t="shared" si="3"/>
        <v/>
      </c>
      <c r="W24" s="410" t="str">
        <f t="shared" si="3"/>
        <v/>
      </c>
      <c r="X24" s="410">
        <f t="shared" ca="1" si="4"/>
        <v>0</v>
      </c>
      <c r="Y24" s="393"/>
      <c r="Z24" s="393"/>
      <c r="AA24" s="393"/>
    </row>
    <row r="25" spans="1:27" hidden="1" x14ac:dyDescent="0.25">
      <c r="A25" s="393"/>
      <c r="B25" s="393"/>
      <c r="C25" s="408" t="str">
        <f>'Расчет стоимости'!C361</f>
        <v>СМР по КЛ 20 кВ и выше</v>
      </c>
      <c r="D25" s="409">
        <f ca="1">'Расчет стоимости'!I335</f>
        <v>0</v>
      </c>
      <c r="E25" s="409">
        <f>'Расчет стоимости'!E335</f>
        <v>4.1500000000000004</v>
      </c>
      <c r="F25" s="410">
        <f t="shared" ca="1" si="5"/>
        <v>0</v>
      </c>
      <c r="G25" s="410" t="str">
        <f t="shared" si="2"/>
        <v/>
      </c>
      <c r="H25" s="410" t="str">
        <f t="shared" si="2"/>
        <v/>
      </c>
      <c r="I25" s="410" t="str">
        <f t="shared" si="2"/>
        <v/>
      </c>
      <c r="J25" s="410" t="str">
        <f t="shared" si="2"/>
        <v/>
      </c>
      <c r="K25" s="410" t="str">
        <f t="shared" si="2"/>
        <v/>
      </c>
      <c r="L25" s="410" t="str">
        <f t="shared" si="2"/>
        <v/>
      </c>
      <c r="M25" s="410" t="str">
        <f t="shared" si="2"/>
        <v/>
      </c>
      <c r="N25" s="410" t="str">
        <f t="shared" si="2"/>
        <v/>
      </c>
      <c r="O25" s="410" t="str">
        <f t="shared" si="2"/>
        <v/>
      </c>
      <c r="P25" s="410">
        <f t="shared" ca="1" si="2"/>
        <v>0</v>
      </c>
      <c r="Q25" s="410" t="str">
        <f t="shared" si="3"/>
        <v/>
      </c>
      <c r="R25" s="410" t="str">
        <f t="shared" si="3"/>
        <v/>
      </c>
      <c r="S25" s="410" t="str">
        <f t="shared" si="3"/>
        <v/>
      </c>
      <c r="T25" s="410" t="str">
        <f t="shared" si="3"/>
        <v/>
      </c>
      <c r="U25" s="410" t="str">
        <f t="shared" si="3"/>
        <v/>
      </c>
      <c r="V25" s="410" t="str">
        <f t="shared" si="3"/>
        <v/>
      </c>
      <c r="W25" s="410" t="str">
        <f t="shared" si="3"/>
        <v/>
      </c>
      <c r="X25" s="410">
        <f t="shared" ca="1" si="4"/>
        <v>0</v>
      </c>
      <c r="Y25" s="393"/>
      <c r="Z25" s="393"/>
      <c r="AA25" s="393"/>
    </row>
    <row r="26" spans="1:27" hidden="1" x14ac:dyDescent="0.25">
      <c r="A26" s="393"/>
      <c r="B26" s="393"/>
      <c r="C26" s="408" t="str">
        <f>'Расчет стоимости'!C363</f>
        <v>СМР по ПС</v>
      </c>
      <c r="D26" s="409">
        <f ca="1">'Расчет стоимости'!I337</f>
        <v>0</v>
      </c>
      <c r="E26" s="409">
        <f>'Расчет стоимости'!E337</f>
        <v>6.35</v>
      </c>
      <c r="F26" s="410">
        <f t="shared" ca="1" si="5"/>
        <v>0</v>
      </c>
      <c r="G26" s="410" t="str">
        <f t="shared" si="2"/>
        <v/>
      </c>
      <c r="H26" s="410" t="str">
        <f t="shared" si="2"/>
        <v/>
      </c>
      <c r="I26" s="410" t="str">
        <f t="shared" si="2"/>
        <v/>
      </c>
      <c r="J26" s="410" t="str">
        <f t="shared" si="2"/>
        <v/>
      </c>
      <c r="K26" s="410" t="str">
        <f t="shared" si="2"/>
        <v/>
      </c>
      <c r="L26" s="410" t="str">
        <f t="shared" si="2"/>
        <v/>
      </c>
      <c r="M26" s="410" t="str">
        <f t="shared" si="2"/>
        <v/>
      </c>
      <c r="N26" s="410" t="str">
        <f t="shared" si="2"/>
        <v/>
      </c>
      <c r="O26" s="410" t="str">
        <f t="shared" si="2"/>
        <v/>
      </c>
      <c r="P26" s="410">
        <f t="shared" ca="1" si="2"/>
        <v>0</v>
      </c>
      <c r="Q26" s="410" t="str">
        <f t="shared" si="3"/>
        <v/>
      </c>
      <c r="R26" s="410" t="str">
        <f t="shared" si="3"/>
        <v/>
      </c>
      <c r="S26" s="410" t="str">
        <f t="shared" si="3"/>
        <v/>
      </c>
      <c r="T26" s="410" t="str">
        <f t="shared" si="3"/>
        <v/>
      </c>
      <c r="U26" s="410" t="str">
        <f t="shared" si="3"/>
        <v/>
      </c>
      <c r="V26" s="410" t="str">
        <f t="shared" si="3"/>
        <v/>
      </c>
      <c r="W26" s="410" t="str">
        <f t="shared" si="3"/>
        <v/>
      </c>
      <c r="X26" s="410">
        <f t="shared" ca="1" si="4"/>
        <v>0</v>
      </c>
      <c r="Y26" s="393"/>
      <c r="Z26" s="393"/>
      <c r="AA26" s="393"/>
    </row>
    <row r="27" spans="1:27" x14ac:dyDescent="0.25">
      <c r="A27" s="393"/>
      <c r="B27" s="393"/>
      <c r="C27" s="408" t="str">
        <f>'Расчет стоимости'!C364</f>
        <v>Оборудование ВЛ</v>
      </c>
      <c r="D27" s="409">
        <f ca="1">'Расчет стоимости'!I338</f>
        <v>252.31</v>
      </c>
      <c r="E27" s="409">
        <f>'Расчет стоимости'!E338</f>
        <v>3.82</v>
      </c>
      <c r="F27" s="410">
        <f t="shared" ca="1" si="5"/>
        <v>963.82</v>
      </c>
      <c r="G27" s="410" t="str">
        <f t="shared" si="2"/>
        <v/>
      </c>
      <c r="H27" s="410" t="str">
        <f t="shared" si="2"/>
        <v/>
      </c>
      <c r="I27" s="410" t="str">
        <f t="shared" si="2"/>
        <v/>
      </c>
      <c r="J27" s="410" t="str">
        <f t="shared" si="2"/>
        <v/>
      </c>
      <c r="K27" s="410" t="str">
        <f t="shared" si="2"/>
        <v/>
      </c>
      <c r="L27" s="410" t="str">
        <f t="shared" si="2"/>
        <v/>
      </c>
      <c r="M27" s="410" t="str">
        <f t="shared" si="2"/>
        <v/>
      </c>
      <c r="N27" s="410" t="str">
        <f t="shared" si="2"/>
        <v/>
      </c>
      <c r="O27" s="410" t="str">
        <f t="shared" si="2"/>
        <v/>
      </c>
      <c r="P27" s="410">
        <f t="shared" ca="1" si="2"/>
        <v>1750.09</v>
      </c>
      <c r="Q27" s="410" t="str">
        <f t="shared" si="3"/>
        <v/>
      </c>
      <c r="R27" s="410" t="str">
        <f t="shared" si="3"/>
        <v/>
      </c>
      <c r="S27" s="410" t="str">
        <f t="shared" si="3"/>
        <v/>
      </c>
      <c r="T27" s="410" t="str">
        <f t="shared" si="3"/>
        <v/>
      </c>
      <c r="U27" s="410" t="str">
        <f t="shared" si="3"/>
        <v/>
      </c>
      <c r="V27" s="410" t="str">
        <f t="shared" si="3"/>
        <v/>
      </c>
      <c r="W27" s="410" t="str">
        <f t="shared" si="3"/>
        <v/>
      </c>
      <c r="X27" s="410">
        <f t="shared" ca="1" si="4"/>
        <v>1225.06</v>
      </c>
      <c r="Y27" s="393"/>
      <c r="Z27" s="393"/>
      <c r="AA27" s="393"/>
    </row>
    <row r="28" spans="1:27" hidden="1" x14ac:dyDescent="0.25">
      <c r="A28" s="393"/>
      <c r="B28" s="393"/>
      <c r="C28" s="408" t="str">
        <f>'Расчет стоимости'!C365</f>
        <v>Оборудование КЛ</v>
      </c>
      <c r="D28" s="409">
        <f ca="1">'Расчет стоимости'!I339</f>
        <v>0</v>
      </c>
      <c r="E28" s="409">
        <f>'Расчет стоимости'!E339</f>
        <v>3.82</v>
      </c>
      <c r="F28" s="410">
        <f t="shared" ca="1" si="5"/>
        <v>0</v>
      </c>
      <c r="G28" s="410" t="str">
        <f t="shared" ref="G28:P35" si="6">IF($E$9=G$13,ROUND($F28*G$16,2),"")</f>
        <v/>
      </c>
      <c r="H28" s="410" t="str">
        <f t="shared" si="6"/>
        <v/>
      </c>
      <c r="I28" s="410" t="str">
        <f t="shared" si="6"/>
        <v/>
      </c>
      <c r="J28" s="410" t="str">
        <f t="shared" si="6"/>
        <v/>
      </c>
      <c r="K28" s="410" t="str">
        <f t="shared" si="6"/>
        <v/>
      </c>
      <c r="L28" s="410" t="str">
        <f t="shared" si="6"/>
        <v/>
      </c>
      <c r="M28" s="410" t="str">
        <f t="shared" si="6"/>
        <v/>
      </c>
      <c r="N28" s="410" t="str">
        <f t="shared" si="6"/>
        <v/>
      </c>
      <c r="O28" s="410" t="str">
        <f t="shared" si="6"/>
        <v/>
      </c>
      <c r="P28" s="410">
        <f t="shared" ca="1" si="6"/>
        <v>0</v>
      </c>
      <c r="Q28" s="410" t="str">
        <f t="shared" ref="Q28:W35" si="7">IF($E$9=Q$13,ROUND($F28*Q$16,2),"")</f>
        <v/>
      </c>
      <c r="R28" s="410" t="str">
        <f t="shared" si="7"/>
        <v/>
      </c>
      <c r="S28" s="410" t="str">
        <f t="shared" si="7"/>
        <v/>
      </c>
      <c r="T28" s="410" t="str">
        <f t="shared" si="7"/>
        <v/>
      </c>
      <c r="U28" s="410" t="str">
        <f t="shared" si="7"/>
        <v/>
      </c>
      <c r="V28" s="410" t="str">
        <f t="shared" si="7"/>
        <v/>
      </c>
      <c r="W28" s="410" t="str">
        <f t="shared" si="7"/>
        <v/>
      </c>
      <c r="X28" s="410">
        <f t="shared" ca="1" si="4"/>
        <v>0</v>
      </c>
      <c r="Y28" s="393"/>
      <c r="Z28" s="393"/>
      <c r="AA28" s="393"/>
    </row>
    <row r="29" spans="1:27" hidden="1" x14ac:dyDescent="0.25">
      <c r="A29" s="393"/>
      <c r="B29" s="393"/>
      <c r="C29" s="408" t="str">
        <f>'Расчет стоимости'!C366</f>
        <v>Оборудование ПС</v>
      </c>
      <c r="D29" s="409">
        <f ca="1">'Расчет стоимости'!I340</f>
        <v>0</v>
      </c>
      <c r="E29" s="409">
        <f>'Расчет стоимости'!E340</f>
        <v>3.82</v>
      </c>
      <c r="F29" s="410">
        <f t="shared" ca="1" si="5"/>
        <v>0</v>
      </c>
      <c r="G29" s="410" t="str">
        <f t="shared" si="6"/>
        <v/>
      </c>
      <c r="H29" s="410" t="str">
        <f t="shared" si="6"/>
        <v/>
      </c>
      <c r="I29" s="410" t="str">
        <f t="shared" si="6"/>
        <v/>
      </c>
      <c r="J29" s="410" t="str">
        <f t="shared" si="6"/>
        <v/>
      </c>
      <c r="K29" s="410" t="str">
        <f t="shared" si="6"/>
        <v/>
      </c>
      <c r="L29" s="410" t="str">
        <f t="shared" si="6"/>
        <v/>
      </c>
      <c r="M29" s="410" t="str">
        <f t="shared" si="6"/>
        <v/>
      </c>
      <c r="N29" s="410" t="str">
        <f t="shared" si="6"/>
        <v/>
      </c>
      <c r="O29" s="410" t="str">
        <f t="shared" si="6"/>
        <v/>
      </c>
      <c r="P29" s="410">
        <f t="shared" ca="1" si="6"/>
        <v>0</v>
      </c>
      <c r="Q29" s="410" t="str">
        <f t="shared" si="7"/>
        <v/>
      </c>
      <c r="R29" s="410" t="str">
        <f t="shared" si="7"/>
        <v/>
      </c>
      <c r="S29" s="410" t="str">
        <f t="shared" si="7"/>
        <v/>
      </c>
      <c r="T29" s="410" t="str">
        <f t="shared" si="7"/>
        <v/>
      </c>
      <c r="U29" s="410" t="str">
        <f t="shared" si="7"/>
        <v/>
      </c>
      <c r="V29" s="410" t="str">
        <f t="shared" si="7"/>
        <v/>
      </c>
      <c r="W29" s="410" t="str">
        <f t="shared" si="7"/>
        <v/>
      </c>
      <c r="X29" s="410">
        <f t="shared" ca="1" si="4"/>
        <v>0</v>
      </c>
      <c r="Y29" s="393"/>
      <c r="Z29" s="393"/>
      <c r="AA29" s="393"/>
    </row>
    <row r="30" spans="1:27" hidden="1" x14ac:dyDescent="0.25">
      <c r="A30" s="393"/>
      <c r="B30" s="393"/>
      <c r="C30" s="408" t="str">
        <f>'Расчет стоимости'!C367</f>
        <v>Пусконаладочные работы ВЛ</v>
      </c>
      <c r="D30" s="409">
        <f ca="1">'Расчет стоимости'!I341</f>
        <v>0</v>
      </c>
      <c r="E30" s="409">
        <f>'Расчет стоимости'!E341</f>
        <v>12.66</v>
      </c>
      <c r="F30" s="410">
        <f t="shared" ca="1" si="5"/>
        <v>0</v>
      </c>
      <c r="G30" s="410" t="str">
        <f t="shared" si="6"/>
        <v/>
      </c>
      <c r="H30" s="410" t="str">
        <f t="shared" si="6"/>
        <v/>
      </c>
      <c r="I30" s="410" t="str">
        <f t="shared" si="6"/>
        <v/>
      </c>
      <c r="J30" s="410" t="str">
        <f t="shared" si="6"/>
        <v/>
      </c>
      <c r="K30" s="410" t="str">
        <f t="shared" si="6"/>
        <v/>
      </c>
      <c r="L30" s="410" t="str">
        <f t="shared" si="6"/>
        <v/>
      </c>
      <c r="M30" s="410" t="str">
        <f t="shared" si="6"/>
        <v/>
      </c>
      <c r="N30" s="410" t="str">
        <f t="shared" si="6"/>
        <v/>
      </c>
      <c r="O30" s="410" t="str">
        <f t="shared" si="6"/>
        <v/>
      </c>
      <c r="P30" s="410">
        <f t="shared" ca="1" si="6"/>
        <v>0</v>
      </c>
      <c r="Q30" s="410" t="str">
        <f t="shared" si="7"/>
        <v/>
      </c>
      <c r="R30" s="410" t="str">
        <f t="shared" si="7"/>
        <v/>
      </c>
      <c r="S30" s="410" t="str">
        <f t="shared" si="7"/>
        <v/>
      </c>
      <c r="T30" s="410" t="str">
        <f t="shared" si="7"/>
        <v/>
      </c>
      <c r="U30" s="410" t="str">
        <f t="shared" si="7"/>
        <v/>
      </c>
      <c r="V30" s="410" t="str">
        <f t="shared" si="7"/>
        <v/>
      </c>
      <c r="W30" s="410" t="str">
        <f t="shared" si="7"/>
        <v/>
      </c>
      <c r="X30" s="410">
        <f t="shared" ca="1" si="4"/>
        <v>0</v>
      </c>
      <c r="Y30" s="393"/>
      <c r="Z30" s="393"/>
      <c r="AA30" s="393"/>
    </row>
    <row r="31" spans="1:27" hidden="1" x14ac:dyDescent="0.25">
      <c r="A31" s="393"/>
      <c r="B31" s="393"/>
      <c r="C31" s="408" t="str">
        <f>'Расчет стоимости'!C368</f>
        <v>Пусконаладочные работы КЛ</v>
      </c>
      <c r="D31" s="409">
        <f ca="1">'Расчет стоимости'!I342</f>
        <v>0</v>
      </c>
      <c r="E31" s="409">
        <f>'Расчет стоимости'!E342</f>
        <v>12.66</v>
      </c>
      <c r="F31" s="410">
        <f t="shared" ca="1" si="5"/>
        <v>0</v>
      </c>
      <c r="G31" s="410" t="str">
        <f t="shared" si="6"/>
        <v/>
      </c>
      <c r="H31" s="410" t="str">
        <f t="shared" si="6"/>
        <v/>
      </c>
      <c r="I31" s="410" t="str">
        <f t="shared" si="6"/>
        <v/>
      </c>
      <c r="J31" s="410" t="str">
        <f t="shared" si="6"/>
        <v/>
      </c>
      <c r="K31" s="410" t="str">
        <f t="shared" si="6"/>
        <v/>
      </c>
      <c r="L31" s="410" t="str">
        <f t="shared" si="6"/>
        <v/>
      </c>
      <c r="M31" s="410" t="str">
        <f t="shared" si="6"/>
        <v/>
      </c>
      <c r="N31" s="410" t="str">
        <f t="shared" si="6"/>
        <v/>
      </c>
      <c r="O31" s="410" t="str">
        <f t="shared" si="6"/>
        <v/>
      </c>
      <c r="P31" s="410">
        <f t="shared" ca="1" si="6"/>
        <v>0</v>
      </c>
      <c r="Q31" s="410" t="str">
        <f t="shared" si="7"/>
        <v/>
      </c>
      <c r="R31" s="410" t="str">
        <f t="shared" si="7"/>
        <v/>
      </c>
      <c r="S31" s="410" t="str">
        <f t="shared" si="7"/>
        <v/>
      </c>
      <c r="T31" s="410" t="str">
        <f t="shared" si="7"/>
        <v/>
      </c>
      <c r="U31" s="410" t="str">
        <f t="shared" si="7"/>
        <v/>
      </c>
      <c r="V31" s="410" t="str">
        <f t="shared" si="7"/>
        <v/>
      </c>
      <c r="W31" s="410" t="str">
        <f t="shared" si="7"/>
        <v/>
      </c>
      <c r="X31" s="410">
        <f t="shared" ca="1" si="4"/>
        <v>0</v>
      </c>
      <c r="Y31" s="393"/>
      <c r="Z31" s="393"/>
      <c r="AA31" s="393"/>
    </row>
    <row r="32" spans="1:27" hidden="1" x14ac:dyDescent="0.25">
      <c r="A32" s="393"/>
      <c r="B32" s="393"/>
      <c r="C32" s="408" t="str">
        <f>'Расчет стоимости'!C369</f>
        <v>Пусконаладочные работы ПС</v>
      </c>
      <c r="D32" s="409">
        <f ca="1">'Расчет стоимости'!I343</f>
        <v>0</v>
      </c>
      <c r="E32" s="409">
        <f>'Расчет стоимости'!E343</f>
        <v>12.66</v>
      </c>
      <c r="F32" s="410">
        <f t="shared" ca="1" si="5"/>
        <v>0</v>
      </c>
      <c r="G32" s="410" t="str">
        <f t="shared" si="6"/>
        <v/>
      </c>
      <c r="H32" s="410" t="str">
        <f t="shared" si="6"/>
        <v/>
      </c>
      <c r="I32" s="410" t="str">
        <f t="shared" si="6"/>
        <v/>
      </c>
      <c r="J32" s="410" t="str">
        <f t="shared" si="6"/>
        <v/>
      </c>
      <c r="K32" s="410" t="str">
        <f t="shared" si="6"/>
        <v/>
      </c>
      <c r="L32" s="410" t="str">
        <f t="shared" si="6"/>
        <v/>
      </c>
      <c r="M32" s="410" t="str">
        <f t="shared" si="6"/>
        <v/>
      </c>
      <c r="N32" s="410" t="str">
        <f t="shared" si="6"/>
        <v/>
      </c>
      <c r="O32" s="410" t="str">
        <f t="shared" si="6"/>
        <v/>
      </c>
      <c r="P32" s="410">
        <f t="shared" ca="1" si="6"/>
        <v>0</v>
      </c>
      <c r="Q32" s="410" t="str">
        <f t="shared" si="7"/>
        <v/>
      </c>
      <c r="R32" s="410" t="str">
        <f t="shared" si="7"/>
        <v/>
      </c>
      <c r="S32" s="410" t="str">
        <f t="shared" si="7"/>
        <v/>
      </c>
      <c r="T32" s="410" t="str">
        <f t="shared" si="7"/>
        <v/>
      </c>
      <c r="U32" s="410" t="str">
        <f t="shared" si="7"/>
        <v/>
      </c>
      <c r="V32" s="410" t="str">
        <f t="shared" si="7"/>
        <v/>
      </c>
      <c r="W32" s="410" t="str">
        <f t="shared" si="7"/>
        <v/>
      </c>
      <c r="X32" s="410">
        <f t="shared" ca="1" si="4"/>
        <v>0</v>
      </c>
      <c r="Y32" s="393"/>
      <c r="Z32" s="393"/>
      <c r="AA32" s="393"/>
    </row>
    <row r="33" spans="1:27" x14ac:dyDescent="0.25">
      <c r="A33" s="393"/>
      <c r="B33" s="393"/>
      <c r="C33" s="408" t="str">
        <f>'Расчет стоимости'!C370</f>
        <v>Прочие затраты ВЛ</v>
      </c>
      <c r="D33" s="409">
        <f ca="1">'Расчет стоимости'!I344</f>
        <v>636.16999999999996</v>
      </c>
      <c r="E33" s="409">
        <f>'Расчет стоимости'!E344</f>
        <v>7.53</v>
      </c>
      <c r="F33" s="410">
        <f t="shared" ca="1" si="5"/>
        <v>4790.3599999999997</v>
      </c>
      <c r="G33" s="410" t="str">
        <f t="shared" si="6"/>
        <v/>
      </c>
      <c r="H33" s="410" t="str">
        <f t="shared" si="6"/>
        <v/>
      </c>
      <c r="I33" s="410" t="str">
        <f t="shared" si="6"/>
        <v/>
      </c>
      <c r="J33" s="410" t="str">
        <f t="shared" si="6"/>
        <v/>
      </c>
      <c r="K33" s="410" t="str">
        <f t="shared" si="6"/>
        <v/>
      </c>
      <c r="L33" s="410" t="str">
        <f t="shared" si="6"/>
        <v/>
      </c>
      <c r="M33" s="410" t="str">
        <f t="shared" si="6"/>
        <v/>
      </c>
      <c r="N33" s="410" t="str">
        <f t="shared" si="6"/>
        <v/>
      </c>
      <c r="O33" s="410" t="str">
        <f t="shared" si="6"/>
        <v/>
      </c>
      <c r="P33" s="410">
        <f t="shared" ca="1" si="6"/>
        <v>8698.26</v>
      </c>
      <c r="Q33" s="410" t="str">
        <f t="shared" si="7"/>
        <v/>
      </c>
      <c r="R33" s="410" t="str">
        <f t="shared" si="7"/>
        <v/>
      </c>
      <c r="S33" s="410" t="str">
        <f t="shared" si="7"/>
        <v/>
      </c>
      <c r="T33" s="410" t="str">
        <f t="shared" si="7"/>
        <v/>
      </c>
      <c r="U33" s="410" t="str">
        <f t="shared" si="7"/>
        <v/>
      </c>
      <c r="V33" s="410" t="str">
        <f t="shared" si="7"/>
        <v/>
      </c>
      <c r="W33" s="410" t="str">
        <f t="shared" si="7"/>
        <v/>
      </c>
      <c r="X33" s="410">
        <f t="shared" ca="1" si="4"/>
        <v>6088.78</v>
      </c>
      <c r="Y33" s="393"/>
      <c r="Z33" s="393"/>
      <c r="AA33" s="393"/>
    </row>
    <row r="34" spans="1:27" hidden="1" x14ac:dyDescent="0.25">
      <c r="A34" s="393"/>
      <c r="B34" s="393"/>
      <c r="C34" s="408" t="str">
        <f>'Расчет стоимости'!C371</f>
        <v>Прочие затраты КЛ</v>
      </c>
      <c r="D34" s="409">
        <f ca="1">'Расчет стоимости'!I345</f>
        <v>0</v>
      </c>
      <c r="E34" s="409">
        <f>'Расчет стоимости'!E345</f>
        <v>7.53</v>
      </c>
      <c r="F34" s="410">
        <f t="shared" ca="1" si="5"/>
        <v>0</v>
      </c>
      <c r="G34" s="410" t="str">
        <f t="shared" si="6"/>
        <v/>
      </c>
      <c r="H34" s="410" t="str">
        <f t="shared" si="6"/>
        <v/>
      </c>
      <c r="I34" s="410" t="str">
        <f t="shared" si="6"/>
        <v/>
      </c>
      <c r="J34" s="410" t="str">
        <f t="shared" si="6"/>
        <v/>
      </c>
      <c r="K34" s="410" t="str">
        <f t="shared" si="6"/>
        <v/>
      </c>
      <c r="L34" s="410" t="str">
        <f t="shared" si="6"/>
        <v/>
      </c>
      <c r="M34" s="410" t="str">
        <f t="shared" si="6"/>
        <v/>
      </c>
      <c r="N34" s="410" t="str">
        <f t="shared" si="6"/>
        <v/>
      </c>
      <c r="O34" s="410" t="str">
        <f t="shared" si="6"/>
        <v/>
      </c>
      <c r="P34" s="410">
        <f t="shared" ca="1" si="6"/>
        <v>0</v>
      </c>
      <c r="Q34" s="410" t="str">
        <f t="shared" si="7"/>
        <v/>
      </c>
      <c r="R34" s="410" t="str">
        <f t="shared" si="7"/>
        <v/>
      </c>
      <c r="S34" s="410" t="str">
        <f t="shared" si="7"/>
        <v/>
      </c>
      <c r="T34" s="410" t="str">
        <f t="shared" si="7"/>
        <v/>
      </c>
      <c r="U34" s="410" t="str">
        <f t="shared" si="7"/>
        <v/>
      </c>
      <c r="V34" s="410" t="str">
        <f t="shared" si="7"/>
        <v/>
      </c>
      <c r="W34" s="410" t="str">
        <f t="shared" si="7"/>
        <v/>
      </c>
      <c r="X34" s="410">
        <f t="shared" ca="1" si="4"/>
        <v>0</v>
      </c>
      <c r="Y34" s="393"/>
      <c r="Z34" s="393"/>
      <c r="AA34" s="393"/>
    </row>
    <row r="35" spans="1:27" x14ac:dyDescent="0.25">
      <c r="A35" s="393"/>
      <c r="B35" s="393"/>
      <c r="C35" s="408" t="str">
        <f>'Расчет стоимости'!C372</f>
        <v>Прочие затраты ПС</v>
      </c>
      <c r="D35" s="409">
        <f ca="1">'Расчет стоимости'!I346</f>
        <v>-0.02</v>
      </c>
      <c r="E35" s="409">
        <f>'Расчет стоимости'!E346</f>
        <v>7.53</v>
      </c>
      <c r="F35" s="410">
        <f t="shared" ca="1" si="5"/>
        <v>-0.15</v>
      </c>
      <c r="G35" s="410" t="str">
        <f t="shared" si="6"/>
        <v/>
      </c>
      <c r="H35" s="410" t="str">
        <f t="shared" si="6"/>
        <v/>
      </c>
      <c r="I35" s="410" t="str">
        <f t="shared" si="6"/>
        <v/>
      </c>
      <c r="J35" s="410" t="str">
        <f t="shared" si="6"/>
        <v/>
      </c>
      <c r="K35" s="410" t="str">
        <f t="shared" si="6"/>
        <v/>
      </c>
      <c r="L35" s="410" t="str">
        <f t="shared" si="6"/>
        <v/>
      </c>
      <c r="M35" s="410" t="str">
        <f t="shared" si="6"/>
        <v/>
      </c>
      <c r="N35" s="410" t="str">
        <f t="shared" si="6"/>
        <v/>
      </c>
      <c r="O35" s="410" t="str">
        <f t="shared" si="6"/>
        <v/>
      </c>
      <c r="P35" s="410">
        <f t="shared" ca="1" si="6"/>
        <v>-0.27</v>
      </c>
      <c r="Q35" s="410" t="str">
        <f t="shared" si="7"/>
        <v/>
      </c>
      <c r="R35" s="410" t="str">
        <f t="shared" si="7"/>
        <v/>
      </c>
      <c r="S35" s="410" t="str">
        <f t="shared" si="7"/>
        <v/>
      </c>
      <c r="T35" s="410" t="str">
        <f t="shared" si="7"/>
        <v/>
      </c>
      <c r="U35" s="410" t="str">
        <f t="shared" si="7"/>
        <v/>
      </c>
      <c r="V35" s="410" t="str">
        <f t="shared" si="7"/>
        <v/>
      </c>
      <c r="W35" s="410" t="str">
        <f t="shared" si="7"/>
        <v/>
      </c>
      <c r="X35" s="410">
        <f t="shared" ca="1" si="4"/>
        <v>-0.19</v>
      </c>
      <c r="Y35" s="393"/>
      <c r="Z35" s="393"/>
      <c r="AA35" s="393"/>
    </row>
    <row r="36" spans="1:27" x14ac:dyDescent="0.25">
      <c r="A36" s="393"/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</row>
    <row r="37" spans="1:27" x14ac:dyDescent="0.25">
      <c r="A37" s="393"/>
      <c r="B37" s="243"/>
      <c r="C37" s="411"/>
      <c r="D37" s="243"/>
      <c r="E37" s="243"/>
      <c r="F37" s="412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</row>
    <row r="38" spans="1:27" x14ac:dyDescent="0.25">
      <c r="A38" s="393"/>
      <c r="B38" s="243"/>
      <c r="C38" s="243"/>
      <c r="D38" s="243"/>
      <c r="E38" s="243"/>
      <c r="F38" s="246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</row>
    <row r="39" spans="1:27" x14ac:dyDescent="0.25">
      <c r="A39" s="393"/>
      <c r="B39" s="243"/>
      <c r="C39" s="411"/>
      <c r="D39" s="243"/>
      <c r="E39" s="243"/>
      <c r="F39" s="412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</row>
    <row r="40" spans="1:27" x14ac:dyDescent="0.25">
      <c r="A40" s="393"/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</row>
    <row r="41" spans="1:27" x14ac:dyDescent="0.25">
      <c r="A41" s="393"/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</row>
    <row r="42" spans="1:27" x14ac:dyDescent="0.2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</row>
    <row r="43" spans="1:27" x14ac:dyDescent="0.25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</row>
  </sheetData>
  <sheetProtection password="DF99" sheet="1" objects="1" scenarios="1"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8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S61"/>
  <sheetViews>
    <sheetView topLeftCell="A7" zoomScale="80" zoomScaleNormal="80" workbookViewId="0">
      <selection activeCell="D41" sqref="D41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3"/>
      <c r="B2" s="393"/>
      <c r="C2" s="394" t="s">
        <v>1211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3" s="8" customFormat="1" x14ac:dyDescent="0.25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393"/>
      <c r="L3" s="393"/>
      <c r="M3" s="393"/>
    </row>
    <row r="4" spans="1:13" x14ac:dyDescent="0.25">
      <c r="A4" s="413"/>
      <c r="B4" s="413"/>
      <c r="C4" s="640" t="str">
        <f>IF('Расчет стоимости'!C6="","",'Расчет стоимости'!C6)</f>
        <v xml:space="preserve">Реконструкция ВЛ 10 кВ яч.5Д ПС 110/10 кВ «Мордино» с заменой неизолированного провода на СИП протяженностью 14,75 км  в Корткеросском районе </v>
      </c>
      <c r="D4" s="640"/>
      <c r="E4" s="640"/>
      <c r="F4" s="640"/>
      <c r="G4" s="640"/>
      <c r="H4" s="640"/>
      <c r="I4" s="640"/>
      <c r="J4" s="413"/>
      <c r="K4" s="414"/>
      <c r="L4" s="414"/>
      <c r="M4" s="414"/>
    </row>
    <row r="5" spans="1:13" x14ac:dyDescent="0.25">
      <c r="A5" s="414"/>
      <c r="B5" s="415"/>
      <c r="C5" s="641" t="s">
        <v>7</v>
      </c>
      <c r="D5" s="641"/>
      <c r="E5" s="641"/>
      <c r="F5" s="641"/>
      <c r="G5" s="641"/>
      <c r="H5" s="641"/>
      <c r="I5" s="641"/>
      <c r="J5" s="416"/>
      <c r="K5" s="414"/>
      <c r="L5" s="414"/>
      <c r="M5" s="414"/>
    </row>
    <row r="6" spans="1:13" s="8" customFormat="1" x14ac:dyDescent="0.25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</row>
    <row r="7" spans="1:13" s="8" customFormat="1" x14ac:dyDescent="0.25">
      <c r="A7" s="393"/>
      <c r="B7" s="393"/>
      <c r="C7" s="417" t="s">
        <v>1218</v>
      </c>
      <c r="D7" s="417"/>
      <c r="E7" s="417" t="str">
        <f>IF('Расчет стоимости'!C11="","",'Расчет стоимости'!C11)</f>
        <v>Республика Коми</v>
      </c>
      <c r="F7" s="393"/>
      <c r="G7" s="393"/>
      <c r="H7" s="393"/>
      <c r="I7" s="393"/>
      <c r="J7" s="393"/>
      <c r="K7" s="418"/>
      <c r="L7" s="418"/>
      <c r="M7" s="393"/>
    </row>
    <row r="8" spans="1:13" s="8" customFormat="1" x14ac:dyDescent="0.25">
      <c r="A8" s="393"/>
      <c r="B8" s="393"/>
      <c r="C8" s="417" t="s">
        <v>1217</v>
      </c>
      <c r="D8" s="417"/>
      <c r="E8" s="441">
        <f>IF(Снижение!E9,Снижение!E9,"год не выбран")</f>
        <v>2023</v>
      </c>
      <c r="F8" s="393"/>
      <c r="G8" s="393"/>
      <c r="H8" s="393"/>
      <c r="I8" s="393"/>
      <c r="J8" s="393"/>
      <c r="K8" s="418"/>
      <c r="L8" s="418"/>
      <c r="M8" s="393"/>
    </row>
    <row r="9" spans="1:13" s="8" customFormat="1" x14ac:dyDescent="0.25">
      <c r="A9" s="393"/>
      <c r="B9" s="393"/>
      <c r="C9" s="417"/>
      <c r="D9" s="393"/>
      <c r="E9" s="393"/>
      <c r="F9" s="414"/>
      <c r="G9" s="393"/>
      <c r="H9" s="393"/>
      <c r="I9" s="393"/>
      <c r="J9" s="393"/>
      <c r="K9" s="418"/>
      <c r="L9" s="418"/>
      <c r="M9" s="393"/>
    </row>
    <row r="10" spans="1:13" x14ac:dyDescent="0.25">
      <c r="A10" s="414"/>
      <c r="B10" s="414"/>
      <c r="C10" s="419" t="s">
        <v>1215</v>
      </c>
      <c r="D10" s="419"/>
      <c r="E10" s="442">
        <v>2022</v>
      </c>
      <c r="F10" s="414"/>
      <c r="G10" s="420"/>
      <c r="H10" s="420"/>
      <c r="I10" s="420"/>
      <c r="J10" s="416"/>
      <c r="K10" s="421"/>
      <c r="L10" s="418"/>
      <c r="M10" s="414"/>
    </row>
    <row r="11" spans="1:13" x14ac:dyDescent="0.25">
      <c r="A11" s="414"/>
      <c r="B11" s="414"/>
      <c r="C11" s="419" t="s">
        <v>1216</v>
      </c>
      <c r="D11" s="419"/>
      <c r="E11" s="442">
        <f>IF(D18,D18,"год не выбран")</f>
        <v>2023</v>
      </c>
      <c r="F11" s="414"/>
      <c r="G11" s="420"/>
      <c r="H11" s="420"/>
      <c r="I11" s="420"/>
      <c r="J11" s="416"/>
      <c r="K11" s="421"/>
      <c r="L11" s="418"/>
      <c r="M11" s="421"/>
    </row>
    <row r="12" spans="1:13" x14ac:dyDescent="0.25">
      <c r="A12" s="414"/>
      <c r="B12" s="414"/>
      <c r="C12" s="414"/>
      <c r="D12" s="422"/>
      <c r="E12" s="423"/>
      <c r="F12" s="414"/>
      <c r="G12" s="414"/>
      <c r="H12" s="414"/>
      <c r="I12" s="414"/>
      <c r="J12" s="414"/>
      <c r="K12" s="424"/>
      <c r="L12" s="414"/>
      <c r="M12" s="414"/>
    </row>
    <row r="13" spans="1:13" x14ac:dyDescent="0.25">
      <c r="A13" s="414"/>
      <c r="B13" s="651" t="s">
        <v>1191</v>
      </c>
      <c r="C13" s="649" t="s">
        <v>1192</v>
      </c>
      <c r="D13" s="658"/>
      <c r="E13" s="656"/>
      <c r="F13" s="653" t="s">
        <v>1205</v>
      </c>
      <c r="G13" s="654"/>
      <c r="H13" s="654"/>
      <c r="I13" s="654"/>
      <c r="J13" s="655"/>
      <c r="K13" s="638" t="s">
        <v>1201</v>
      </c>
      <c r="L13" s="638" t="s">
        <v>30</v>
      </c>
      <c r="M13" s="414"/>
    </row>
    <row r="14" spans="1:13" x14ac:dyDescent="0.25">
      <c r="A14" s="414"/>
      <c r="B14" s="652"/>
      <c r="C14" s="650"/>
      <c r="D14" s="659"/>
      <c r="E14" s="657"/>
      <c r="F14" s="425" t="s">
        <v>184</v>
      </c>
      <c r="G14" s="426" t="s">
        <v>4</v>
      </c>
      <c r="H14" s="425" t="s">
        <v>259</v>
      </c>
      <c r="I14" s="425" t="s">
        <v>311</v>
      </c>
      <c r="J14" s="425" t="s">
        <v>1193</v>
      </c>
      <c r="K14" s="639"/>
      <c r="L14" s="639"/>
      <c r="M14" s="414"/>
    </row>
    <row r="15" spans="1:13" ht="28.5" x14ac:dyDescent="0.25">
      <c r="A15" s="414"/>
      <c r="B15" s="427">
        <v>1</v>
      </c>
      <c r="C15" s="428" t="s">
        <v>1202</v>
      </c>
      <c r="D15" s="429"/>
      <c r="E15" s="430"/>
      <c r="F15" s="429">
        <f ca="1">SUM('Расчет стоимости'!I332:I337)/(1+'Расчет стоимости'!$T$353)</f>
        <v>5350.9440000000004</v>
      </c>
      <c r="G15" s="429">
        <f ca="1">SUM('Расчет стоимости'!I338:I340)/(1+'Расчет стоимости'!$T$353)</f>
        <v>246.17214782399407</v>
      </c>
      <c r="H15" s="429">
        <f ca="1">SUM('Расчет стоимости'!I341:I343)/(1+'Расчет стоимости'!$T$353)</f>
        <v>0</v>
      </c>
      <c r="I15" s="429">
        <f ca="1">SUM('Расчет стоимости'!I329:J331)/(1+'Расчет стоимости'!$T$353)</f>
        <v>470.88923825569441</v>
      </c>
      <c r="J15" s="429">
        <f ca="1">SUM('Расчет стоимости'!I344:J346)/(1+'Расчет стоимости'!$T$353)-('Расчет стоимости'!R107+'Расчет стоимости'!R185+'Расчет стоимости'!R303)</f>
        <v>476.13461392031161</v>
      </c>
      <c r="K15" s="431">
        <f ca="1">F15+G15+H15+I15+J15</f>
        <v>6544.14</v>
      </c>
      <c r="L15" s="431">
        <f ca="1">K15*1.18</f>
        <v>7722.0851999999995</v>
      </c>
      <c r="M15" s="414"/>
    </row>
    <row r="16" spans="1:13" x14ac:dyDescent="0.25">
      <c r="A16" s="414"/>
      <c r="B16" s="427">
        <v>2</v>
      </c>
      <c r="C16" s="428" t="s">
        <v>1203</v>
      </c>
      <c r="D16" s="429"/>
      <c r="E16" s="430"/>
      <c r="F16" s="429">
        <f ca="1">SUM('Расчет стоимости'!P332:P337)/(1+'Расчет стоимости'!$T$353)</f>
        <v>22527.478532962828</v>
      </c>
      <c r="G16" s="429">
        <f ca="1">SUM('Расчет стоимости'!P338:P340)/(1+'Расчет стоимости'!$T$353)</f>
        <v>940.37350685950605</v>
      </c>
      <c r="H16" s="429">
        <f ca="1">SUM('Расчет стоимости'!P341:P343)/(1+'Расчет стоимости'!$T$353)</f>
        <v>0</v>
      </c>
      <c r="I16" s="429">
        <f ca="1">SUM('Расчет стоимости'!P329:P331)/(1+'Расчет стоимости'!$T$353)</f>
        <v>1662.2352059164609</v>
      </c>
      <c r="J16" s="429">
        <f ca="1">SUM('Расчет стоимости'!P344:P346)/(1+'Расчет стоимости'!$T$353)-('Расчет стоимости'!R107*'Расчет стоимости'!E344*'Расчет стоимости'!M344+'Расчет стоимости'!R185*'Расчет стоимости'!E345*'Расчет стоимости'!M345+'Расчет стоимости'!R303*'Расчет стоимости'!E346*'Расчет стоимости'!M346)</f>
        <v>3574.4102686566321</v>
      </c>
      <c r="K16" s="431">
        <f ca="1">F16+G16+H16+I16+J16</f>
        <v>28704.497514395429</v>
      </c>
      <c r="L16" s="431">
        <f t="shared" ref="L16:L47" ca="1" si="0">K16*1.18</f>
        <v>33871.307066986607</v>
      </c>
      <c r="M16" s="414"/>
    </row>
    <row r="17" spans="1:19" ht="21.75" customHeight="1" x14ac:dyDescent="0.25">
      <c r="A17" s="414"/>
      <c r="B17" s="648">
        <v>3</v>
      </c>
      <c r="C17" s="635" t="s">
        <v>1213</v>
      </c>
      <c r="D17" s="636"/>
      <c r="E17" s="636"/>
      <c r="F17" s="636"/>
      <c r="G17" s="636"/>
      <c r="H17" s="636"/>
      <c r="I17" s="636"/>
      <c r="J17" s="636"/>
      <c r="K17" s="636"/>
      <c r="L17" s="637"/>
      <c r="M17" s="414"/>
      <c r="O17" s="235"/>
      <c r="P17" s="235"/>
      <c r="Q17" s="235"/>
      <c r="R17" s="235"/>
      <c r="S17" s="235"/>
    </row>
    <row r="18" spans="1:19" ht="15.75" customHeight="1" x14ac:dyDescent="0.25">
      <c r="A18" s="414"/>
      <c r="B18" s="648"/>
      <c r="C18" s="432" t="s">
        <v>1194</v>
      </c>
      <c r="D18" s="74">
        <f>$E$8</f>
        <v>2023</v>
      </c>
      <c r="E18" s="433">
        <f>IF(D18,HLOOKUP($D18,Снижение!$H$13:$W$16,4,FALSE),"")</f>
        <v>1.8157849246435149</v>
      </c>
      <c r="F18" s="430">
        <f ca="1">IF(D18,F16*E18,"-")</f>
        <v>40905.055910384312</v>
      </c>
      <c r="G18" s="71"/>
      <c r="H18" s="71"/>
      <c r="I18" s="71"/>
      <c r="J18" s="71"/>
      <c r="K18" s="663"/>
      <c r="L18" s="638"/>
      <c r="M18" s="414"/>
      <c r="O18" s="76"/>
    </row>
    <row r="19" spans="1:19" ht="15.75" customHeight="1" x14ac:dyDescent="0.25">
      <c r="A19" s="414"/>
      <c r="B19" s="648"/>
      <c r="C19" s="432" t="s">
        <v>1195</v>
      </c>
      <c r="D19" s="74">
        <f t="shared" ref="D19:D22" si="1">$E$8</f>
        <v>2023</v>
      </c>
      <c r="E19" s="433">
        <f>IF(D19,HLOOKUP($D19,Снижение!$H$13:$W$16,4,FALSE),"")</f>
        <v>1.8157849246435149</v>
      </c>
      <c r="F19" s="71"/>
      <c r="G19" s="430">
        <f ca="1">IF(D19,G16*E19,"-")</f>
        <v>1707.516037289646</v>
      </c>
      <c r="H19" s="71"/>
      <c r="I19" s="71"/>
      <c r="J19" s="71"/>
      <c r="K19" s="664"/>
      <c r="L19" s="666"/>
      <c r="M19" s="414"/>
      <c r="O19" s="234"/>
    </row>
    <row r="20" spans="1:19" ht="15.75" customHeight="1" x14ac:dyDescent="0.25">
      <c r="A20" s="414"/>
      <c r="B20" s="648"/>
      <c r="C20" s="432" t="s">
        <v>1196</v>
      </c>
      <c r="D20" s="74">
        <f t="shared" si="1"/>
        <v>2023</v>
      </c>
      <c r="E20" s="433">
        <f>IF(D20,HLOOKUP($D20,Снижение!$H$13:$W$16,4,FALSE),"")</f>
        <v>1.8157849246435149</v>
      </c>
      <c r="F20" s="71"/>
      <c r="G20" s="71"/>
      <c r="H20" s="430">
        <f ca="1">IF(D20,H16*E20,"-")</f>
        <v>0</v>
      </c>
      <c r="I20" s="71"/>
      <c r="J20" s="71"/>
      <c r="K20" s="664"/>
      <c r="L20" s="666"/>
      <c r="M20" s="414"/>
    </row>
    <row r="21" spans="1:19" ht="15.75" customHeight="1" x14ac:dyDescent="0.25">
      <c r="A21" s="414"/>
      <c r="B21" s="648"/>
      <c r="C21" s="432" t="s">
        <v>1197</v>
      </c>
      <c r="D21" s="74">
        <v>2022</v>
      </c>
      <c r="E21" s="433">
        <f>IF(D21,HLOOKUP($D21,Снижение!$H$13:$W$16,4,FALSE),"")</f>
        <v>1.7425958969707436</v>
      </c>
      <c r="F21" s="71"/>
      <c r="G21" s="71"/>
      <c r="H21" s="71"/>
      <c r="I21" s="430">
        <f ca="1">IF(D21,I16*E21,"-")</f>
        <v>2896.6042496303439</v>
      </c>
      <c r="J21" s="71"/>
      <c r="K21" s="664"/>
      <c r="L21" s="666"/>
      <c r="M21" s="414"/>
    </row>
    <row r="22" spans="1:19" ht="15.75" customHeight="1" x14ac:dyDescent="0.25">
      <c r="A22" s="414"/>
      <c r="B22" s="648"/>
      <c r="C22" s="432" t="s">
        <v>1198</v>
      </c>
      <c r="D22" s="74">
        <f t="shared" si="1"/>
        <v>2023</v>
      </c>
      <c r="E22" s="433">
        <f>IF(D22,HLOOKUP($D22,Снижение!$H$13:$W$16,4,FALSE),"")</f>
        <v>1.8157849246435149</v>
      </c>
      <c r="F22" s="71"/>
      <c r="G22" s="71"/>
      <c r="H22" s="71"/>
      <c r="I22" s="71"/>
      <c r="J22" s="430">
        <f ca="1">IF(D22,J16*E22,"-")</f>
        <v>6490.3602803176882</v>
      </c>
      <c r="K22" s="665"/>
      <c r="L22" s="639"/>
      <c r="M22" s="414"/>
    </row>
    <row r="23" spans="1:19" ht="30" customHeight="1" x14ac:dyDescent="0.25">
      <c r="A23" s="414"/>
      <c r="B23" s="427"/>
      <c r="C23" s="635" t="s">
        <v>1214</v>
      </c>
      <c r="D23" s="636"/>
      <c r="E23" s="636"/>
      <c r="F23" s="636"/>
      <c r="G23" s="636"/>
      <c r="H23" s="636"/>
      <c r="I23" s="636"/>
      <c r="J23" s="636"/>
      <c r="K23" s="636"/>
      <c r="L23" s="637"/>
      <c r="M23" s="414"/>
    </row>
    <row r="24" spans="1:19" x14ac:dyDescent="0.25">
      <c r="A24" s="414"/>
      <c r="B24" s="648">
        <v>4</v>
      </c>
      <c r="C24" s="432" t="s">
        <v>1206</v>
      </c>
      <c r="D24" s="434">
        <f>IF(ISNUMBER(D18),D18,"Нет")</f>
        <v>2023</v>
      </c>
      <c r="E24" s="435">
        <f>IF(D18,HLOOKUP($D24,Снижение!$H$13:$W$16,2,FALSE),"")</f>
        <v>0.7</v>
      </c>
      <c r="F24" s="430">
        <f ca="1">IF(D18,E24*F18,"-")</f>
        <v>28633.539137269017</v>
      </c>
      <c r="G24" s="71"/>
      <c r="H24" s="71"/>
      <c r="I24" s="71"/>
      <c r="J24" s="71"/>
      <c r="K24" s="667"/>
      <c r="L24" s="638"/>
      <c r="M24" s="414"/>
    </row>
    <row r="25" spans="1:19" x14ac:dyDescent="0.25">
      <c r="A25" s="414"/>
      <c r="B25" s="648"/>
      <c r="C25" s="432" t="s">
        <v>1207</v>
      </c>
      <c r="D25" s="434">
        <f t="shared" ref="D25:D28" si="2">IF(ISNUMBER(D19),D19,"Нет")</f>
        <v>2023</v>
      </c>
      <c r="E25" s="435">
        <f>IF(D19,HLOOKUP($D25,Снижение!$H$13:$W$16,2,FALSE),"")</f>
        <v>0.7</v>
      </c>
      <c r="F25" s="71"/>
      <c r="G25" s="430">
        <f ca="1">IF(D19,G19*E25,"-")</f>
        <v>1195.2612261027521</v>
      </c>
      <c r="H25" s="71"/>
      <c r="I25" s="71"/>
      <c r="J25" s="71"/>
      <c r="K25" s="668"/>
      <c r="L25" s="666"/>
      <c r="M25" s="414"/>
    </row>
    <row r="26" spans="1:19" x14ac:dyDescent="0.25">
      <c r="A26" s="414"/>
      <c r="B26" s="648"/>
      <c r="C26" s="432" t="s">
        <v>1208</v>
      </c>
      <c r="D26" s="434">
        <f t="shared" si="2"/>
        <v>2023</v>
      </c>
      <c r="E26" s="435">
        <f>IF(D20,HLOOKUP($D26,Снижение!$H$13:$W$16,2,FALSE),"")</f>
        <v>0.7</v>
      </c>
      <c r="F26" s="71"/>
      <c r="G26" s="71"/>
      <c r="H26" s="430">
        <f ca="1">IF(D20,H20*E26,"-")</f>
        <v>0</v>
      </c>
      <c r="I26" s="71"/>
      <c r="J26" s="71"/>
      <c r="K26" s="668"/>
      <c r="L26" s="666"/>
      <c r="M26" s="414"/>
    </row>
    <row r="27" spans="1:19" x14ac:dyDescent="0.25">
      <c r="A27" s="414"/>
      <c r="B27" s="648"/>
      <c r="C27" s="432" t="s">
        <v>1209</v>
      </c>
      <c r="D27" s="434">
        <f t="shared" si="2"/>
        <v>2022</v>
      </c>
      <c r="E27" s="435">
        <f>IF(D21,HLOOKUP($D27,Снижение!$H$13:$W$16,2,FALSE),"")</f>
        <v>0.7</v>
      </c>
      <c r="F27" s="71"/>
      <c r="G27" s="71"/>
      <c r="H27" s="71"/>
      <c r="I27" s="430">
        <f ca="1">IF(D21,I21*E27,"-")</f>
        <v>2027.6229747412406</v>
      </c>
      <c r="J27" s="71"/>
      <c r="K27" s="668"/>
      <c r="L27" s="666"/>
      <c r="M27" s="414"/>
    </row>
    <row r="28" spans="1:19" x14ac:dyDescent="0.25">
      <c r="A28" s="414"/>
      <c r="B28" s="648"/>
      <c r="C28" s="432" t="s">
        <v>1210</v>
      </c>
      <c r="D28" s="434">
        <f t="shared" si="2"/>
        <v>2023</v>
      </c>
      <c r="E28" s="435">
        <f>IF(D22,HLOOKUP($D28,Снижение!$H$13:$W$16,2,FALSE),"")</f>
        <v>0.7</v>
      </c>
      <c r="F28" s="71"/>
      <c r="G28" s="71"/>
      <c r="H28" s="71"/>
      <c r="I28" s="71"/>
      <c r="J28" s="430">
        <f ca="1">IF(D22,J22*E28,"-")</f>
        <v>4543.2521962223818</v>
      </c>
      <c r="K28" s="669"/>
      <c r="L28" s="639"/>
      <c r="M28" s="414"/>
    </row>
    <row r="29" spans="1:19" ht="19.5" customHeight="1" x14ac:dyDescent="0.25">
      <c r="A29" s="414"/>
      <c r="B29" s="642">
        <v>5</v>
      </c>
      <c r="C29" s="660" t="s">
        <v>1200</v>
      </c>
      <c r="D29" s="661"/>
      <c r="E29" s="661"/>
      <c r="F29" s="661"/>
      <c r="G29" s="661"/>
      <c r="H29" s="661"/>
      <c r="I29" s="661"/>
      <c r="J29" s="661"/>
      <c r="K29" s="661"/>
      <c r="L29" s="662"/>
      <c r="M29" s="414"/>
    </row>
    <row r="30" spans="1:19" x14ac:dyDescent="0.25">
      <c r="A30" s="414"/>
      <c r="B30" s="643"/>
      <c r="C30" s="71" t="str">
        <f>CONCATENATE("в ",D30," году")</f>
        <v>в 2014 году</v>
      </c>
      <c r="D30" s="436">
        <v>2014</v>
      </c>
      <c r="E30" s="437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8">
        <f>SUM(F30:J30)</f>
        <v>0</v>
      </c>
      <c r="L30" s="431">
        <f t="shared" si="0"/>
        <v>0</v>
      </c>
      <c r="M30" s="414"/>
    </row>
    <row r="31" spans="1:19" x14ac:dyDescent="0.25">
      <c r="A31" s="414"/>
      <c r="B31" s="643"/>
      <c r="C31" s="71" t="str">
        <f t="shared" ref="C31:C46" si="3">CONCATENATE("в ",D31," году")</f>
        <v>в 2015 году</v>
      </c>
      <c r="D31" s="436">
        <v>2015</v>
      </c>
      <c r="E31" s="430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8">
        <f>SUM(F31:J31)</f>
        <v>0</v>
      </c>
      <c r="L31" s="431">
        <f t="shared" si="0"/>
        <v>0</v>
      </c>
      <c r="M31" s="414"/>
      <c r="O31" s="72"/>
      <c r="P31" s="72"/>
    </row>
    <row r="32" spans="1:19" x14ac:dyDescent="0.25">
      <c r="A32" s="414"/>
      <c r="B32" s="643"/>
      <c r="C32" s="71" t="str">
        <f t="shared" si="3"/>
        <v>в 2016 году</v>
      </c>
      <c r="D32" s="436">
        <v>2016</v>
      </c>
      <c r="E32" s="430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8">
        <f t="shared" ref="K32:K46" si="9">SUM(F32:J32)</f>
        <v>0</v>
      </c>
      <c r="L32" s="431">
        <f t="shared" si="0"/>
        <v>0</v>
      </c>
      <c r="M32" s="414"/>
    </row>
    <row r="33" spans="1:16" x14ac:dyDescent="0.25">
      <c r="A33" s="414"/>
      <c r="B33" s="643"/>
      <c r="C33" s="71" t="str">
        <f t="shared" si="3"/>
        <v>в 2017 году</v>
      </c>
      <c r="D33" s="436">
        <v>2017</v>
      </c>
      <c r="E33" s="430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8">
        <f t="shared" si="9"/>
        <v>0</v>
      </c>
      <c r="L33" s="431">
        <f t="shared" si="0"/>
        <v>0</v>
      </c>
      <c r="M33" s="414"/>
    </row>
    <row r="34" spans="1:16" x14ac:dyDescent="0.25">
      <c r="A34" s="414"/>
      <c r="B34" s="643"/>
      <c r="C34" s="71" t="str">
        <f t="shared" si="3"/>
        <v>в 2018 году</v>
      </c>
      <c r="D34" s="436">
        <v>2018</v>
      </c>
      <c r="E34" s="430"/>
      <c r="F34" s="71" t="str">
        <f t="shared" si="4"/>
        <v/>
      </c>
      <c r="G34" s="71" t="str">
        <f t="shared" si="5"/>
        <v/>
      </c>
      <c r="H34" s="71" t="str">
        <f t="shared" si="6"/>
        <v/>
      </c>
      <c r="I34" s="71" t="str">
        <f t="shared" si="7"/>
        <v/>
      </c>
      <c r="J34" s="71" t="str">
        <f t="shared" si="8"/>
        <v/>
      </c>
      <c r="K34" s="438">
        <f t="shared" si="9"/>
        <v>0</v>
      </c>
      <c r="L34" s="431">
        <f t="shared" si="0"/>
        <v>0</v>
      </c>
      <c r="M34" s="414"/>
    </row>
    <row r="35" spans="1:16" x14ac:dyDescent="0.25">
      <c r="A35" s="414"/>
      <c r="B35" s="643"/>
      <c r="C35" s="71" t="str">
        <f t="shared" si="3"/>
        <v>в 2019 году</v>
      </c>
      <c r="D35" s="436">
        <v>2019</v>
      </c>
      <c r="E35" s="430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8">
        <f t="shared" si="9"/>
        <v>0</v>
      </c>
      <c r="L35" s="431">
        <f t="shared" si="0"/>
        <v>0</v>
      </c>
      <c r="M35" s="414"/>
    </row>
    <row r="36" spans="1:16" x14ac:dyDescent="0.25">
      <c r="A36" s="414"/>
      <c r="B36" s="643"/>
      <c r="C36" s="71" t="str">
        <f t="shared" si="3"/>
        <v>в 2020 году</v>
      </c>
      <c r="D36" s="436">
        <v>2020</v>
      </c>
      <c r="E36" s="430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8">
        <f t="shared" si="9"/>
        <v>0</v>
      </c>
      <c r="L36" s="431">
        <f t="shared" si="0"/>
        <v>0</v>
      </c>
      <c r="M36" s="414"/>
    </row>
    <row r="37" spans="1:16" x14ac:dyDescent="0.25">
      <c r="A37" s="414"/>
      <c r="B37" s="643"/>
      <c r="C37" s="71" t="str">
        <f t="shared" si="3"/>
        <v>в 2021 году</v>
      </c>
      <c r="D37" s="436">
        <v>2021</v>
      </c>
      <c r="E37" s="430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8">
        <f t="shared" si="9"/>
        <v>0</v>
      </c>
      <c r="L37" s="431">
        <f t="shared" si="0"/>
        <v>0</v>
      </c>
      <c r="M37" s="414"/>
      <c r="N37" s="72"/>
      <c r="O37" s="72"/>
    </row>
    <row r="38" spans="1:16" x14ac:dyDescent="0.25">
      <c r="A38" s="414"/>
      <c r="B38" s="643"/>
      <c r="C38" s="71" t="str">
        <f t="shared" si="3"/>
        <v>в 2022 году</v>
      </c>
      <c r="D38" s="436">
        <v>2022</v>
      </c>
      <c r="E38" s="430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>
        <f t="shared" ca="1" si="7"/>
        <v>2027.6229747412406</v>
      </c>
      <c r="J38" s="71" t="str">
        <f t="shared" si="8"/>
        <v/>
      </c>
      <c r="K38" s="438">
        <f t="shared" ca="1" si="9"/>
        <v>2027.6229747412406</v>
      </c>
      <c r="L38" s="431">
        <f t="shared" ca="1" si="0"/>
        <v>2392.5951101946639</v>
      </c>
      <c r="M38" s="414"/>
    </row>
    <row r="39" spans="1:16" x14ac:dyDescent="0.25">
      <c r="A39" s="414"/>
      <c r="B39" s="643"/>
      <c r="C39" s="71" t="str">
        <f t="shared" si="3"/>
        <v>в 2023 году</v>
      </c>
      <c r="D39" s="436">
        <v>2023</v>
      </c>
      <c r="E39" s="430"/>
      <c r="F39" s="71">
        <f ca="1">IF($D$18=$D39,$F$24,"")</f>
        <v>28633.539137269017</v>
      </c>
      <c r="G39" s="71">
        <f ca="1">IF($D$19=$D39,$G$25,"")</f>
        <v>1195.2612261027521</v>
      </c>
      <c r="H39" s="71">
        <f ca="1">IF($D$20=$D39,$H$26,"")</f>
        <v>0</v>
      </c>
      <c r="I39" s="71" t="str">
        <f>IF($D$21=$D39,$I$27,"")</f>
        <v/>
      </c>
      <c r="J39" s="71">
        <f ca="1">IF($D$22=$D39,$J$28,"")</f>
        <v>4543.2521962223818</v>
      </c>
      <c r="K39" s="438">
        <f t="shared" ca="1" si="9"/>
        <v>34372.052559594151</v>
      </c>
      <c r="L39" s="431">
        <f t="shared" ca="1" si="0"/>
        <v>40559.022020321099</v>
      </c>
      <c r="M39" s="414"/>
    </row>
    <row r="40" spans="1:16" x14ac:dyDescent="0.25">
      <c r="A40" s="414"/>
      <c r="B40" s="643"/>
      <c r="C40" s="71" t="str">
        <f t="shared" si="3"/>
        <v>в 2024 году</v>
      </c>
      <c r="D40" s="436">
        <v>2024</v>
      </c>
      <c r="E40" s="430"/>
      <c r="F40" s="71" t="str">
        <f t="shared" si="4"/>
        <v/>
      </c>
      <c r="G40" s="71" t="str">
        <f t="shared" si="5"/>
        <v/>
      </c>
      <c r="H40" s="71" t="str">
        <f t="shared" si="6"/>
        <v/>
      </c>
      <c r="I40" s="71" t="str">
        <f t="shared" si="7"/>
        <v/>
      </c>
      <c r="J40" s="71" t="str">
        <f t="shared" si="8"/>
        <v/>
      </c>
      <c r="K40" s="438">
        <f t="shared" si="9"/>
        <v>0</v>
      </c>
      <c r="L40" s="431">
        <f t="shared" si="0"/>
        <v>0</v>
      </c>
      <c r="M40" s="414"/>
    </row>
    <row r="41" spans="1:16" x14ac:dyDescent="0.25">
      <c r="A41" s="414"/>
      <c r="B41" s="643"/>
      <c r="C41" s="71" t="str">
        <f t="shared" si="3"/>
        <v>в 2025 году</v>
      </c>
      <c r="D41" s="436">
        <v>2025</v>
      </c>
      <c r="E41" s="430"/>
      <c r="F41" s="71" t="str">
        <f t="shared" si="4"/>
        <v/>
      </c>
      <c r="G41" s="71" t="str">
        <f t="shared" si="5"/>
        <v/>
      </c>
      <c r="H41" s="71" t="str">
        <f t="shared" si="6"/>
        <v/>
      </c>
      <c r="I41" s="71" t="str">
        <f t="shared" si="7"/>
        <v/>
      </c>
      <c r="J41" s="71" t="str">
        <f t="shared" si="8"/>
        <v/>
      </c>
      <c r="K41" s="438">
        <f t="shared" si="9"/>
        <v>0</v>
      </c>
      <c r="L41" s="431">
        <f t="shared" si="0"/>
        <v>0</v>
      </c>
      <c r="M41" s="414"/>
    </row>
    <row r="42" spans="1:16" x14ac:dyDescent="0.25">
      <c r="A42" s="414"/>
      <c r="B42" s="643"/>
      <c r="C42" s="71" t="str">
        <f t="shared" si="3"/>
        <v>в 2026 году</v>
      </c>
      <c r="D42" s="436">
        <v>2026</v>
      </c>
      <c r="E42" s="430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8">
        <f t="shared" si="9"/>
        <v>0</v>
      </c>
      <c r="L42" s="431">
        <f t="shared" si="0"/>
        <v>0</v>
      </c>
      <c r="M42" s="414"/>
    </row>
    <row r="43" spans="1:16" x14ac:dyDescent="0.25">
      <c r="A43" s="414"/>
      <c r="B43" s="643"/>
      <c r="C43" s="71" t="str">
        <f t="shared" si="3"/>
        <v>в 2027 году</v>
      </c>
      <c r="D43" s="436">
        <v>2027</v>
      </c>
      <c r="E43" s="430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8">
        <f t="shared" si="9"/>
        <v>0</v>
      </c>
      <c r="L43" s="431">
        <f t="shared" si="0"/>
        <v>0</v>
      </c>
      <c r="M43" s="414"/>
    </row>
    <row r="44" spans="1:16" x14ac:dyDescent="0.25">
      <c r="A44" s="414"/>
      <c r="B44" s="643"/>
      <c r="C44" s="71" t="str">
        <f t="shared" si="3"/>
        <v>в 2028 году</v>
      </c>
      <c r="D44" s="436">
        <v>2028</v>
      </c>
      <c r="E44" s="430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8">
        <f t="shared" si="9"/>
        <v>0</v>
      </c>
      <c r="L44" s="431">
        <f t="shared" si="0"/>
        <v>0</v>
      </c>
      <c r="M44" s="414"/>
    </row>
    <row r="45" spans="1:16" x14ac:dyDescent="0.25">
      <c r="A45" s="414"/>
      <c r="B45" s="643"/>
      <c r="C45" s="71" t="str">
        <f t="shared" si="3"/>
        <v>в 2029 году</v>
      </c>
      <c r="D45" s="436">
        <v>2029</v>
      </c>
      <c r="E45" s="430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8">
        <f t="shared" si="9"/>
        <v>0</v>
      </c>
      <c r="L45" s="431">
        <f t="shared" si="0"/>
        <v>0</v>
      </c>
      <c r="M45" s="414"/>
    </row>
    <row r="46" spans="1:16" x14ac:dyDescent="0.25">
      <c r="A46" s="414"/>
      <c r="B46" s="644"/>
      <c r="C46" s="71" t="str">
        <f t="shared" si="3"/>
        <v>в 2030 году</v>
      </c>
      <c r="D46" s="436">
        <v>2030</v>
      </c>
      <c r="E46" s="430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8">
        <f t="shared" si="9"/>
        <v>0</v>
      </c>
      <c r="L46" s="431">
        <f t="shared" si="0"/>
        <v>0</v>
      </c>
      <c r="M46" s="414"/>
    </row>
    <row r="47" spans="1:16" x14ac:dyDescent="0.25">
      <c r="A47" s="414"/>
      <c r="B47" s="439">
        <v>6</v>
      </c>
      <c r="C47" s="645" t="s">
        <v>1199</v>
      </c>
      <c r="D47" s="646"/>
      <c r="E47" s="646"/>
      <c r="F47" s="646"/>
      <c r="G47" s="646"/>
      <c r="H47" s="646"/>
      <c r="I47" s="646"/>
      <c r="J47" s="647"/>
      <c r="K47" s="438">
        <f ca="1">SUM(K31:K46)</f>
        <v>36399.675534335394</v>
      </c>
      <c r="L47" s="431">
        <f t="shared" ca="1" si="0"/>
        <v>42951.617130515762</v>
      </c>
      <c r="M47" s="414"/>
    </row>
    <row r="48" spans="1:16" s="72" customFormat="1" x14ac:dyDescent="0.25">
      <c r="A48" s="424"/>
      <c r="B48" s="414"/>
      <c r="C48" s="440" t="s">
        <v>1204</v>
      </c>
      <c r="D48" s="422"/>
      <c r="E48" s="423"/>
      <c r="F48" s="414"/>
      <c r="G48" s="414"/>
      <c r="H48" s="414"/>
      <c r="I48" s="414"/>
      <c r="J48" s="414"/>
      <c r="K48" s="424"/>
      <c r="L48" s="424"/>
      <c r="M48" s="414"/>
      <c r="N48" s="70"/>
      <c r="O48" s="70"/>
      <c r="P48" s="70"/>
    </row>
    <row r="49" spans="1:16" x14ac:dyDescent="0.25">
      <c r="A49" s="414"/>
      <c r="B49" s="414"/>
      <c r="C49" s="414"/>
      <c r="D49" s="422"/>
      <c r="E49" s="423"/>
      <c r="F49" s="414"/>
      <c r="G49" s="414"/>
      <c r="H49" s="414"/>
      <c r="I49" s="414"/>
      <c r="J49" s="414"/>
      <c r="K49" s="424"/>
      <c r="L49" s="414"/>
      <c r="M49" s="414"/>
    </row>
    <row r="50" spans="1:16" x14ac:dyDescent="0.25">
      <c r="A50" s="414"/>
      <c r="B50" s="414"/>
      <c r="C50" s="493" t="str">
        <f>'[3]Расчет стоимости'!C377</f>
        <v>Составил: Ведущий инженер Сивергин А.Н.</v>
      </c>
      <c r="D50" s="443"/>
      <c r="E50" s="443"/>
      <c r="F50" s="443"/>
      <c r="G50" s="443"/>
      <c r="H50" s="443"/>
      <c r="I50" s="444"/>
      <c r="J50" s="444"/>
      <c r="K50" s="445"/>
      <c r="L50" s="446"/>
      <c r="M50" s="414"/>
    </row>
    <row r="51" spans="1:16" x14ac:dyDescent="0.25">
      <c r="A51" s="414"/>
      <c r="B51" s="414"/>
      <c r="C51" s="33"/>
      <c r="D51" s="447"/>
      <c r="E51" s="448"/>
      <c r="F51" s="446"/>
      <c r="G51" s="446"/>
      <c r="H51" s="446"/>
      <c r="I51" s="449"/>
      <c r="J51" s="449"/>
      <c r="K51" s="450"/>
      <c r="L51" s="446"/>
      <c r="M51" s="414"/>
    </row>
    <row r="52" spans="1:16" x14ac:dyDescent="0.25">
      <c r="A52" s="414"/>
      <c r="B52" s="414"/>
      <c r="C52" s="33"/>
      <c r="D52" s="447"/>
      <c r="E52" s="448"/>
      <c r="F52" s="446"/>
      <c r="G52" s="446"/>
      <c r="H52" s="446"/>
      <c r="I52" s="446"/>
      <c r="J52" s="446"/>
      <c r="K52" s="450"/>
      <c r="L52" s="446"/>
      <c r="M52" s="414"/>
    </row>
    <row r="53" spans="1:16" x14ac:dyDescent="0.25">
      <c r="A53" s="414"/>
      <c r="B53" s="414"/>
      <c r="C53" s="493" t="str">
        <f>'[3]Расчет стоимости'!C379</f>
        <v>Проверил: Заместитель директора по капитальному строительству производственного отделения - начальник отдела Запрягаев А.М.</v>
      </c>
      <c r="D53" s="443"/>
      <c r="E53" s="443"/>
      <c r="F53" s="443"/>
      <c r="G53" s="443"/>
      <c r="H53" s="443"/>
      <c r="I53" s="444"/>
      <c r="J53" s="444"/>
      <c r="K53" s="446"/>
      <c r="L53" s="446"/>
      <c r="M53" s="414"/>
    </row>
    <row r="54" spans="1:16" s="72" customFormat="1" x14ac:dyDescent="0.25">
      <c r="A54" s="424"/>
      <c r="B54" s="414"/>
      <c r="C54" s="446"/>
      <c r="D54" s="449"/>
      <c r="E54" s="449"/>
      <c r="F54" s="449"/>
      <c r="G54" s="446"/>
      <c r="H54" s="446"/>
      <c r="I54" s="449"/>
      <c r="J54" s="449"/>
      <c r="K54" s="450"/>
      <c r="L54" s="446"/>
      <c r="M54" s="414"/>
      <c r="N54" s="70"/>
      <c r="O54" s="70"/>
      <c r="P54" s="70"/>
    </row>
    <row r="55" spans="1:16" x14ac:dyDescent="0.25">
      <c r="A55" s="414"/>
      <c r="B55" s="414"/>
      <c r="C55" s="451"/>
      <c r="D55" s="446"/>
      <c r="E55" s="446"/>
      <c r="F55" s="446"/>
      <c r="G55" s="446"/>
      <c r="H55" s="446"/>
      <c r="I55" s="444"/>
      <c r="J55" s="444"/>
      <c r="K55" s="450"/>
      <c r="L55" s="446"/>
      <c r="M55" s="414"/>
    </row>
    <row r="56" spans="1:16" x14ac:dyDescent="0.25">
      <c r="C56" s="451"/>
      <c r="D56" s="443"/>
      <c r="E56" s="443"/>
      <c r="F56" s="443"/>
      <c r="G56" s="443"/>
      <c r="H56" s="443"/>
      <c r="I56" s="443"/>
      <c r="J56" s="443"/>
      <c r="K56" s="446"/>
      <c r="L56" s="446"/>
    </row>
    <row r="57" spans="1:16" x14ac:dyDescent="0.25">
      <c r="C57" s="446"/>
      <c r="D57" s="449"/>
      <c r="E57" s="449"/>
      <c r="F57" s="449"/>
      <c r="G57" s="446"/>
      <c r="H57" s="446"/>
      <c r="I57" s="449"/>
      <c r="J57" s="449"/>
      <c r="K57" s="450"/>
      <c r="L57" s="446"/>
    </row>
    <row r="58" spans="1:16" x14ac:dyDescent="0.25">
      <c r="C58" s="446"/>
      <c r="D58" s="447"/>
      <c r="E58" s="448"/>
      <c r="F58" s="446"/>
      <c r="G58" s="446"/>
      <c r="H58" s="446"/>
      <c r="I58" s="446"/>
      <c r="J58" s="446"/>
      <c r="K58" s="450"/>
      <c r="L58" s="446"/>
    </row>
    <row r="59" spans="1:16" x14ac:dyDescent="0.25">
      <c r="C59" s="446"/>
      <c r="D59" s="447"/>
      <c r="E59" s="448"/>
      <c r="F59" s="446"/>
      <c r="G59" s="446"/>
      <c r="H59" s="446"/>
      <c r="I59" s="446"/>
      <c r="J59" s="446"/>
      <c r="K59" s="450"/>
      <c r="L59" s="446"/>
    </row>
    <row r="60" spans="1:16" x14ac:dyDescent="0.25">
      <c r="C60" s="446"/>
      <c r="D60" s="447"/>
      <c r="E60" s="448"/>
      <c r="F60" s="446"/>
      <c r="G60" s="446"/>
      <c r="H60" s="446"/>
      <c r="I60" s="446"/>
      <c r="J60" s="446"/>
      <c r="K60" s="450"/>
      <c r="L60" s="446"/>
    </row>
    <row r="61" spans="1:16" x14ac:dyDescent="0.25">
      <c r="C61" s="446"/>
      <c r="D61" s="447"/>
      <c r="E61" s="448"/>
      <c r="F61" s="446"/>
      <c r="G61" s="446"/>
      <c r="H61" s="446"/>
      <c r="I61" s="446"/>
      <c r="J61" s="446"/>
      <c r="K61" s="450"/>
      <c r="L61" s="446"/>
    </row>
  </sheetData>
  <sheetProtection formatCells="0" formatColumns="0" formatRows="0" insertColumns="0" insertRows="0" insertHyperlinks="0" deleteColumns="0" deleteRows="0" sort="0" pivotTables="0"/>
  <mergeCells count="20"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  <mergeCell ref="C17:L17"/>
    <mergeCell ref="K13:K14"/>
    <mergeCell ref="C4:I4"/>
    <mergeCell ref="C5:I5"/>
    <mergeCell ref="B29:B46"/>
  </mergeCells>
  <conditionalFormatting sqref="D18:D22">
    <cfRule type="containsBlanks" dxfId="17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16" priority="43">
      <formula>LEN(TRIM(F18))=0</formula>
    </cfRule>
  </conditionalFormatting>
  <conditionalFormatting sqref="F18:J22 F24:J28 F30:K46">
    <cfRule type="containsBlanks" dxfId="15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A9" zoomScaleNormal="100" workbookViewId="0">
      <selection activeCell="D41" sqref="D41"/>
    </sheetView>
  </sheetViews>
  <sheetFormatPr defaultColWidth="9.140625" defaultRowHeight="12.75" x14ac:dyDescent="0.2"/>
  <cols>
    <col min="1" max="1" width="5.28515625" style="145" customWidth="1"/>
    <col min="2" max="2" width="17.7109375" style="145" customWidth="1"/>
    <col min="3" max="3" width="48.7109375" style="145" customWidth="1"/>
    <col min="4" max="4" width="13.5703125" style="145" customWidth="1"/>
    <col min="5" max="5" width="13.28515625" style="145" customWidth="1"/>
    <col min="6" max="6" width="12.7109375" style="145" customWidth="1"/>
    <col min="7" max="7" width="14.5703125" style="145" customWidth="1"/>
    <col min="8" max="9" width="9.140625" style="164" hidden="1" customWidth="1"/>
    <col min="10" max="10" width="12.7109375" style="145" bestFit="1" customWidth="1"/>
    <col min="11" max="11" width="11.42578125" style="145" customWidth="1"/>
    <col min="12" max="12" width="10.5703125" style="145" bestFit="1" customWidth="1"/>
    <col min="13" max="16384" width="9.140625" style="145"/>
  </cols>
  <sheetData>
    <row r="1" spans="2:9" hidden="1" x14ac:dyDescent="0.2">
      <c r="H1" s="164" t="s">
        <v>634</v>
      </c>
      <c r="I1" s="164" t="s">
        <v>634</v>
      </c>
    </row>
    <row r="2" spans="2:9" hidden="1" x14ac:dyDescent="0.2">
      <c r="B2" s="145" t="s">
        <v>253</v>
      </c>
      <c r="C2" s="671" t="str">
        <f>IF('Расчет стоимости'!C8="","",'Расчет стоимости'!C8)&amp;" "&amp;IF('Расчет стоимости'!C9="","",'Расчет стоимости'!C9)</f>
        <v xml:space="preserve">ПАО "МРСК Северо-Запада" </v>
      </c>
      <c r="D2" s="671"/>
      <c r="E2" s="671"/>
    </row>
    <row r="3" spans="2:9" hidden="1" x14ac:dyDescent="0.2">
      <c r="C3" s="672" t="s">
        <v>254</v>
      </c>
      <c r="D3" s="672"/>
      <c r="E3" s="672"/>
    </row>
    <row r="4" spans="2:9" hidden="1" x14ac:dyDescent="0.2">
      <c r="B4" s="145" t="s">
        <v>255</v>
      </c>
      <c r="C4" s="165"/>
      <c r="D4" s="165"/>
      <c r="E4" s="165"/>
    </row>
    <row r="5" spans="2:9" hidden="1" x14ac:dyDescent="0.2">
      <c r="C5" s="166" t="s">
        <v>120</v>
      </c>
      <c r="D5" s="165"/>
      <c r="E5" s="165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45 815,37 тыс. руб. (с НДС) в прогнозных ценах 2023 года</v>
      </c>
      <c r="C6" s="165"/>
      <c r="D6" s="165"/>
      <c r="F6" s="676"/>
      <c r="G6" s="676"/>
    </row>
    <row r="7" spans="2:9" ht="12.75" customHeight="1" x14ac:dyDescent="0.2">
      <c r="B7" s="41"/>
      <c r="C7" s="259"/>
      <c r="D7" s="259"/>
      <c r="F7" s="676"/>
      <c r="G7" s="676"/>
    </row>
    <row r="8" spans="2:9" ht="12.75" customHeight="1" x14ac:dyDescent="0.2">
      <c r="C8" s="269"/>
      <c r="D8" s="363"/>
      <c r="E8" s="363"/>
      <c r="F8" s="363"/>
      <c r="G8" s="363"/>
    </row>
    <row r="9" spans="2:9" ht="12.75" customHeight="1" x14ac:dyDescent="0.2">
      <c r="C9" s="165"/>
      <c r="D9" s="677"/>
      <c r="E9" s="677"/>
      <c r="F9" s="677"/>
      <c r="G9" s="677"/>
    </row>
    <row r="10" spans="2:9" x14ac:dyDescent="0.2">
      <c r="B10" s="166"/>
      <c r="C10" s="165"/>
      <c r="D10" s="278"/>
      <c r="E10" s="278"/>
      <c r="F10" s="678"/>
      <c r="G10" s="678"/>
    </row>
    <row r="12" spans="2:9" x14ac:dyDescent="0.2">
      <c r="B12" s="673" t="s">
        <v>258</v>
      </c>
      <c r="C12" s="673"/>
      <c r="D12" s="673"/>
      <c r="E12" s="673"/>
      <c r="F12" s="673"/>
      <c r="G12" s="673"/>
    </row>
    <row r="14" spans="2:9" ht="11.25" customHeight="1" x14ac:dyDescent="0.2">
      <c r="B14" s="674" t="str">
        <f>CONCATENATE('Расчет стоимости'!C5,". ","''",'Расчет стоимости'!C6,"''")</f>
        <v>I_007-55-1-01.32-1876. ''Реконструкция ВЛ 10 кВ яч.5Д ПС 110/10 кВ «Мордино» с заменой неизолированного провода на СИП протяженностью 14,75 км  в Корткеросском районе ''</v>
      </c>
      <c r="C14" s="674"/>
      <c r="D14" s="674"/>
      <c r="E14" s="674"/>
      <c r="F14" s="674"/>
      <c r="G14" s="674"/>
    </row>
    <row r="15" spans="2:9" x14ac:dyDescent="0.2">
      <c r="C15" s="672" t="s">
        <v>7</v>
      </c>
      <c r="D15" s="672"/>
      <c r="E15" s="672"/>
      <c r="F15" s="672"/>
      <c r="G15" s="672"/>
    </row>
    <row r="16" spans="2:9" x14ac:dyDescent="0.2">
      <c r="B16" s="145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2023</v>
      </c>
      <c r="C16" s="167"/>
    </row>
    <row r="17" spans="1:10" x14ac:dyDescent="0.2">
      <c r="G17" s="145" t="s">
        <v>119</v>
      </c>
    </row>
    <row r="18" spans="1:10" x14ac:dyDescent="0.2">
      <c r="A18" s="670" t="s">
        <v>14</v>
      </c>
      <c r="B18" s="670" t="s">
        <v>13</v>
      </c>
      <c r="C18" s="670" t="s">
        <v>8</v>
      </c>
      <c r="D18" s="675" t="s">
        <v>196</v>
      </c>
      <c r="E18" s="675"/>
      <c r="F18" s="675"/>
      <c r="G18" s="670" t="s">
        <v>197</v>
      </c>
    </row>
    <row r="19" spans="1:10" ht="38.25" x14ac:dyDescent="0.2">
      <c r="A19" s="670"/>
      <c r="B19" s="670"/>
      <c r="C19" s="670"/>
      <c r="D19" s="168" t="s">
        <v>1097</v>
      </c>
      <c r="E19" s="168" t="s">
        <v>9</v>
      </c>
      <c r="F19" s="168" t="s">
        <v>10</v>
      </c>
      <c r="G19" s="670"/>
    </row>
    <row r="20" spans="1:10" x14ac:dyDescent="0.2">
      <c r="A20" s="169">
        <v>1</v>
      </c>
      <c r="B20" s="169">
        <v>2</v>
      </c>
      <c r="C20" s="169">
        <v>3</v>
      </c>
      <c r="D20" s="169">
        <v>4</v>
      </c>
      <c r="E20" s="169">
        <v>5</v>
      </c>
      <c r="F20" s="169">
        <v>6</v>
      </c>
      <c r="G20" s="169">
        <v>7</v>
      </c>
    </row>
    <row r="21" spans="1:10" x14ac:dyDescent="0.2">
      <c r="A21" s="170"/>
      <c r="B21" s="171" t="s">
        <v>11</v>
      </c>
      <c r="C21" s="172"/>
      <c r="D21" s="173"/>
      <c r="E21" s="173"/>
      <c r="F21" s="173"/>
      <c r="G21" s="173"/>
    </row>
    <row r="22" spans="1:10" hidden="1" x14ac:dyDescent="0.2">
      <c r="A22" s="170"/>
      <c r="B22" s="171"/>
      <c r="C22" s="172" t="s">
        <v>1239</v>
      </c>
      <c r="D22" s="173"/>
      <c r="E22" s="173"/>
      <c r="F22" s="179">
        <f>N('Расчет стоимости'!R20)+N('Расчет стоимости'!R21)</f>
        <v>0</v>
      </c>
      <c r="G22" s="173">
        <f t="shared" ref="G22:G24" si="0">IFERROR(D22+E22+F22,0)</f>
        <v>0</v>
      </c>
    </row>
    <row r="23" spans="1:10" hidden="1" x14ac:dyDescent="0.2">
      <c r="A23" s="170"/>
      <c r="B23" s="171"/>
      <c r="C23" s="172" t="s">
        <v>1260</v>
      </c>
      <c r="D23" s="173"/>
      <c r="E23" s="173"/>
      <c r="F23" s="179">
        <f>N('Расчет стоимости'!R135)+N('Расчет стоимости'!R136)</f>
        <v>0</v>
      </c>
      <c r="G23" s="173">
        <f t="shared" si="0"/>
        <v>0</v>
      </c>
    </row>
    <row r="24" spans="1:10" hidden="1" x14ac:dyDescent="0.2">
      <c r="A24" s="170"/>
      <c r="B24" s="171"/>
      <c r="C24" s="172" t="s">
        <v>948</v>
      </c>
      <c r="D24" s="173"/>
      <c r="E24" s="173"/>
      <c r="F24" s="179">
        <f>N('Расчет стоимости'!R22)+N('Расчет стоимости'!R207)+N('Расчет стоимости'!R208)</f>
        <v>0</v>
      </c>
      <c r="G24" s="173">
        <f t="shared" si="0"/>
        <v>0</v>
      </c>
    </row>
    <row r="25" spans="1:10" hidden="1" x14ac:dyDescent="0.2">
      <c r="A25" s="170"/>
      <c r="B25" s="171"/>
      <c r="C25" s="171" t="s">
        <v>1342</v>
      </c>
      <c r="D25" s="175">
        <f>SUM(D22:D24)</f>
        <v>0</v>
      </c>
      <c r="E25" s="175">
        <f t="shared" ref="E25:F25" si="1">SUM(E22:E24)</f>
        <v>0</v>
      </c>
      <c r="F25" s="175">
        <f t="shared" si="1"/>
        <v>0</v>
      </c>
      <c r="G25" s="175">
        <f t="shared" ref="G25" si="2">IFERROR(D25+E25+F25,0)</f>
        <v>0</v>
      </c>
    </row>
    <row r="26" spans="1:10" hidden="1" x14ac:dyDescent="0.2">
      <c r="A26" s="170"/>
      <c r="B26" s="171" t="s">
        <v>12</v>
      </c>
      <c r="C26" s="172"/>
      <c r="D26" s="173"/>
      <c r="E26" s="173"/>
      <c r="F26" s="173"/>
      <c r="G26" s="173"/>
      <c r="I26" s="164">
        <f ca="1">I47/(1+$H$47)-D41-D35</f>
        <v>27695.435118110239</v>
      </c>
    </row>
    <row r="27" spans="1:10" hidden="1" x14ac:dyDescent="0.2">
      <c r="A27" s="170"/>
      <c r="B27" s="171" t="s">
        <v>312</v>
      </c>
      <c r="C27" s="172"/>
      <c r="D27" s="173"/>
      <c r="E27" s="173"/>
      <c r="F27" s="173"/>
      <c r="G27" s="173"/>
      <c r="I27" s="164">
        <f ca="1">I48/(1+$H$48)-D42-D36</f>
        <v>0</v>
      </c>
    </row>
    <row r="28" spans="1:10" ht="12.75" hidden="1" customHeight="1" x14ac:dyDescent="0.2">
      <c r="A28" s="170"/>
      <c r="B28" s="171" t="s">
        <v>116</v>
      </c>
      <c r="C28" s="172"/>
      <c r="D28" s="173"/>
      <c r="E28" s="173"/>
      <c r="F28" s="173"/>
      <c r="G28" s="173"/>
      <c r="I28" s="164">
        <f ca="1">I49/(1+$H$49)-D43-D37</f>
        <v>0</v>
      </c>
    </row>
    <row r="29" spans="1:10" ht="12.75" hidden="1" customHeight="1" x14ac:dyDescent="0.2">
      <c r="A29" s="170"/>
      <c r="B29" s="171" t="s">
        <v>117</v>
      </c>
      <c r="C29" s="172"/>
      <c r="D29" s="173"/>
      <c r="E29" s="173"/>
      <c r="F29" s="173"/>
      <c r="G29" s="173"/>
    </row>
    <row r="30" spans="1:10" s="177" customFormat="1" ht="12.75" hidden="1" customHeight="1" x14ac:dyDescent="0.2">
      <c r="A30" s="174"/>
      <c r="B30" s="171"/>
      <c r="C30" s="171" t="s">
        <v>1065</v>
      </c>
      <c r="D30" s="175">
        <f ca="1">SUM(D31:D33)</f>
        <v>26981.514937181371</v>
      </c>
      <c r="E30" s="175">
        <f ca="1">SUM(E31:E33)</f>
        <v>1195.2584178719121</v>
      </c>
      <c r="F30" s="175">
        <f t="shared" ref="F30:G30" si="3">SUM(F31:F33)</f>
        <v>0</v>
      </c>
      <c r="G30" s="175">
        <f t="shared" ca="1" si="3"/>
        <v>28176.773355053283</v>
      </c>
      <c r="H30" s="176"/>
      <c r="I30" s="176"/>
      <c r="J30" s="145"/>
    </row>
    <row r="31" spans="1:10" ht="12.75" hidden="1" customHeight="1" x14ac:dyDescent="0.2">
      <c r="A31" s="170"/>
      <c r="B31" s="171"/>
      <c r="C31" s="172" t="s">
        <v>1240</v>
      </c>
      <c r="D31" s="173">
        <f ca="1">'Расчет стоимости'!T358+'Расчет стоимости'!T359-(D35+D41+D47)+D22</f>
        <v>26981.514937181371</v>
      </c>
      <c r="E31" s="173">
        <f ca="1">'Расчет стоимости'!T364-(E35+E41+E47)+E22</f>
        <v>1195.2584178719121</v>
      </c>
      <c r="F31" s="173">
        <f>F22</f>
        <v>0</v>
      </c>
      <c r="G31" s="173">
        <f ca="1">SUM(D31:F31)</f>
        <v>28176.773355053283</v>
      </c>
    </row>
    <row r="32" spans="1:10" ht="12.75" hidden="1" customHeight="1" x14ac:dyDescent="0.2">
      <c r="A32" s="170"/>
      <c r="B32" s="171"/>
      <c r="C32" s="172" t="s">
        <v>1241</v>
      </c>
      <c r="D32" s="173">
        <f ca="1">'Расчет стоимости'!T360+'Расчет стоимости'!T361-(D36+D42+D48)+D23</f>
        <v>0</v>
      </c>
      <c r="E32" s="173">
        <f ca="1">'Расчет стоимости'!T365-(E36+E42+E48)+E23</f>
        <v>0</v>
      </c>
      <c r="F32" s="173">
        <f t="shared" ref="F32:F33" si="4">F23</f>
        <v>0</v>
      </c>
      <c r="G32" s="173">
        <f t="shared" ref="G32:G33" ca="1" si="5">SUM(D32:F32)</f>
        <v>0</v>
      </c>
    </row>
    <row r="33" spans="1:10" ht="12.75" hidden="1" customHeight="1" x14ac:dyDescent="0.2">
      <c r="A33" s="170"/>
      <c r="B33" s="171"/>
      <c r="C33" s="172" t="s">
        <v>1242</v>
      </c>
      <c r="D33" s="173">
        <f ca="1">'Расчет стоимости'!T362+'Расчет стоимости'!T363-(D37+D43+D49)+D24</f>
        <v>0</v>
      </c>
      <c r="E33" s="173">
        <f ca="1">'Расчет стоимости'!T366-(E37+E43+E49)+E24</f>
        <v>0</v>
      </c>
      <c r="F33" s="173">
        <f t="shared" si="4"/>
        <v>0</v>
      </c>
      <c r="G33" s="173">
        <f t="shared" ca="1" si="5"/>
        <v>0</v>
      </c>
    </row>
    <row r="34" spans="1:10" x14ac:dyDescent="0.2">
      <c r="A34" s="170"/>
      <c r="B34" s="171" t="s">
        <v>118</v>
      </c>
      <c r="C34" s="172"/>
      <c r="D34" s="173"/>
      <c r="E34" s="173"/>
      <c r="F34" s="173"/>
      <c r="G34" s="173"/>
    </row>
    <row r="35" spans="1:10" hidden="1" x14ac:dyDescent="0.2">
      <c r="A35" s="170"/>
      <c r="B35" s="172" t="s">
        <v>115</v>
      </c>
      <c r="C35" s="172" t="s">
        <v>1087</v>
      </c>
      <c r="D35" s="179">
        <f ca="1">ROUND('Расчет стоимости'!R104*MAX('Расчет стоимости'!M398:M401),2)</f>
        <v>446.12</v>
      </c>
      <c r="E35" s="173"/>
      <c r="F35" s="173"/>
      <c r="G35" s="173">
        <f ca="1">IFERROR(D35+E35+F35,0)</f>
        <v>446.12</v>
      </c>
    </row>
    <row r="36" spans="1:10" hidden="1" x14ac:dyDescent="0.2">
      <c r="A36" s="170"/>
      <c r="B36" s="172" t="s">
        <v>115</v>
      </c>
      <c r="C36" s="172" t="s">
        <v>1088</v>
      </c>
      <c r="D36" s="179">
        <f ca="1">ROUND('Расчет стоимости'!R182*MAX('Расчет стоимости'!M402:M405),2)</f>
        <v>0</v>
      </c>
      <c r="E36" s="173"/>
      <c r="F36" s="173"/>
      <c r="G36" s="173">
        <f t="shared" ref="G36:G39" ca="1" si="6">IFERROR(D36+E36+F36,0)</f>
        <v>0</v>
      </c>
    </row>
    <row r="37" spans="1:10" hidden="1" x14ac:dyDescent="0.2">
      <c r="A37" s="170"/>
      <c r="B37" s="172" t="s">
        <v>115</v>
      </c>
      <c r="C37" s="172" t="s">
        <v>1089</v>
      </c>
      <c r="D37" s="179">
        <f ca="1">ROUND('Расчет стоимости'!R300*'Расчет стоимости'!M407,2)</f>
        <v>0</v>
      </c>
      <c r="E37" s="173"/>
      <c r="F37" s="173"/>
      <c r="G37" s="173">
        <f t="shared" ca="1" si="6"/>
        <v>0</v>
      </c>
    </row>
    <row r="38" spans="1:10" s="177" customFormat="1" hidden="1" x14ac:dyDescent="0.2">
      <c r="A38" s="174"/>
      <c r="B38" s="171"/>
      <c r="C38" s="171" t="s">
        <v>15</v>
      </c>
      <c r="D38" s="175">
        <f ca="1">SUM(D35:D37)</f>
        <v>446.12</v>
      </c>
      <c r="E38" s="175">
        <f t="shared" ref="E38:F38" si="7">SUM(E35:E37)</f>
        <v>0</v>
      </c>
      <c r="F38" s="175">
        <f t="shared" si="7"/>
        <v>0</v>
      </c>
      <c r="G38" s="175">
        <f t="shared" ca="1" si="6"/>
        <v>446.12</v>
      </c>
      <c r="H38" s="176"/>
      <c r="I38" s="176"/>
    </row>
    <row r="39" spans="1:10" s="177" customFormat="1" hidden="1" x14ac:dyDescent="0.2">
      <c r="A39" s="174"/>
      <c r="B39" s="171"/>
      <c r="C39" s="171" t="s">
        <v>16</v>
      </c>
      <c r="D39" s="175">
        <f ca="1">D30+D38</f>
        <v>27427.63493718137</v>
      </c>
      <c r="E39" s="175">
        <f ca="1">E30+E38</f>
        <v>1195.2584178719121</v>
      </c>
      <c r="F39" s="175">
        <f>F30+F38</f>
        <v>0</v>
      </c>
      <c r="G39" s="175">
        <f t="shared" ca="1" si="6"/>
        <v>28622.893355053282</v>
      </c>
      <c r="H39" s="176"/>
      <c r="I39" s="176"/>
    </row>
    <row r="40" spans="1:10" x14ac:dyDescent="0.2">
      <c r="A40" s="170"/>
      <c r="B40" s="171" t="s">
        <v>19</v>
      </c>
      <c r="C40" s="172"/>
      <c r="D40" s="173"/>
      <c r="E40" s="173"/>
      <c r="F40" s="173"/>
      <c r="G40" s="173"/>
    </row>
    <row r="41" spans="1:10" hidden="1" x14ac:dyDescent="0.2">
      <c r="A41" s="170"/>
      <c r="B41" s="178" t="s">
        <v>316</v>
      </c>
      <c r="C41" s="172" t="s">
        <v>1090</v>
      </c>
      <c r="D41" s="179">
        <f ca="1">ROUND('Расчет стоимости'!R105*MAX('Расчет стоимости'!M398:M401),2)</f>
        <v>743.75</v>
      </c>
      <c r="E41" s="173"/>
      <c r="F41" s="173"/>
      <c r="G41" s="173">
        <f t="shared" ref="G41:G45" ca="1" si="8">IFERROR(D41+E41+F41,0)</f>
        <v>743.75</v>
      </c>
    </row>
    <row r="42" spans="1:10" hidden="1" x14ac:dyDescent="0.2">
      <c r="A42" s="170"/>
      <c r="B42" s="178" t="s">
        <v>316</v>
      </c>
      <c r="C42" s="172" t="s">
        <v>1091</v>
      </c>
      <c r="D42" s="179">
        <f ca="1">ROUND('Расчет стоимости'!R183*MAX('Расчет стоимости'!M402:M405),2)</f>
        <v>0</v>
      </c>
      <c r="E42" s="173"/>
      <c r="F42" s="173"/>
      <c r="G42" s="173">
        <f t="shared" ca="1" si="8"/>
        <v>0</v>
      </c>
    </row>
    <row r="43" spans="1:10" hidden="1" x14ac:dyDescent="0.2">
      <c r="A43" s="170"/>
      <c r="B43" s="178" t="s">
        <v>316</v>
      </c>
      <c r="C43" s="172" t="s">
        <v>1092</v>
      </c>
      <c r="D43" s="179">
        <f ca="1">ROUND('Расчет стоимости'!R301*'Расчет стоимости'!M407,2)</f>
        <v>0</v>
      </c>
      <c r="E43" s="173"/>
      <c r="F43" s="173"/>
      <c r="G43" s="173">
        <f t="shared" ca="1" si="8"/>
        <v>0</v>
      </c>
    </row>
    <row r="44" spans="1:10" s="177" customFormat="1" hidden="1" x14ac:dyDescent="0.2">
      <c r="A44" s="174"/>
      <c r="B44" s="171"/>
      <c r="C44" s="171" t="s">
        <v>17</v>
      </c>
      <c r="D44" s="175">
        <f ca="1">SUM(D41:D43)</f>
        <v>743.75</v>
      </c>
      <c r="E44" s="175">
        <f>SUM(E41:E43)</f>
        <v>0</v>
      </c>
      <c r="F44" s="175">
        <f>SUM(F41:F43)</f>
        <v>0</v>
      </c>
      <c r="G44" s="175">
        <f t="shared" ca="1" si="8"/>
        <v>743.75</v>
      </c>
      <c r="H44" s="176"/>
      <c r="I44" s="176"/>
    </row>
    <row r="45" spans="1:10" s="177" customFormat="1" hidden="1" x14ac:dyDescent="0.2">
      <c r="A45" s="174"/>
      <c r="B45" s="171"/>
      <c r="C45" s="171" t="s">
        <v>18</v>
      </c>
      <c r="D45" s="175">
        <f ca="1">D39+D44</f>
        <v>28171.38493718137</v>
      </c>
      <c r="E45" s="175">
        <f ca="1">E39+E44</f>
        <v>1195.2584178719121</v>
      </c>
      <c r="F45" s="175">
        <f>F39+F44</f>
        <v>0</v>
      </c>
      <c r="G45" s="175">
        <f t="shared" ca="1" si="8"/>
        <v>29366.643355053282</v>
      </c>
      <c r="H45" s="176"/>
      <c r="I45" s="176"/>
    </row>
    <row r="46" spans="1:10" s="177" customFormat="1" x14ac:dyDescent="0.2">
      <c r="A46" s="174"/>
      <c r="B46" s="171" t="s">
        <v>20</v>
      </c>
      <c r="C46" s="171"/>
      <c r="D46" s="175"/>
      <c r="E46" s="175"/>
      <c r="F46" s="175"/>
      <c r="G46" s="175"/>
      <c r="H46" s="176"/>
      <c r="I46" s="176"/>
    </row>
    <row r="47" spans="1:10" hidden="1" x14ac:dyDescent="0.2">
      <c r="A47" s="170"/>
      <c r="B47" s="172"/>
      <c r="C47" s="172" t="s">
        <v>1093</v>
      </c>
      <c r="D47" s="173">
        <f ca="1">ROUND((I26+D35+D41)*H47,2)</f>
        <v>462.16</v>
      </c>
      <c r="E47" s="173"/>
      <c r="F47" s="173"/>
      <c r="G47" s="173">
        <f t="shared" ref="G47:G57" ca="1" si="9">IFERROR(D47+E47+F47,0)</f>
        <v>462.16</v>
      </c>
      <c r="H47" s="164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11">
        <f ca="1">('Расчет стоимости'!$P$358+'Расчет стоимости'!$P$362+'Расчет стоимости'!$P$359)</f>
        <v>29347.47</v>
      </c>
      <c r="J47" s="177"/>
    </row>
    <row r="48" spans="1:10" hidden="1" x14ac:dyDescent="0.2">
      <c r="A48" s="170"/>
      <c r="B48" s="172"/>
      <c r="C48" s="172" t="s">
        <v>1094</v>
      </c>
      <c r="D48" s="173">
        <f ca="1">ROUND((I27+D36+D42)*H48,2)</f>
        <v>0</v>
      </c>
      <c r="E48" s="173"/>
      <c r="F48" s="173"/>
      <c r="G48" s="173">
        <f t="shared" ca="1" si="9"/>
        <v>0</v>
      </c>
      <c r="H48" s="164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11">
        <f ca="1">('Расчет стоимости'!$P$360+'Расчет стоимости'!$P$361)</f>
        <v>0</v>
      </c>
      <c r="J48" s="177"/>
    </row>
    <row r="49" spans="1:10" hidden="1" x14ac:dyDescent="0.2">
      <c r="A49" s="170"/>
      <c r="B49" s="172"/>
      <c r="C49" s="172" t="s">
        <v>1095</v>
      </c>
      <c r="D49" s="173">
        <f ca="1">ROUND((I28+D37+D43)*H49,2)</f>
        <v>0</v>
      </c>
      <c r="E49" s="173"/>
      <c r="F49" s="173"/>
      <c r="G49" s="173">
        <f t="shared" ca="1" si="9"/>
        <v>0</v>
      </c>
      <c r="H49" s="164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11">
        <f ca="1">('Расчет стоимости'!$P$363)</f>
        <v>0</v>
      </c>
      <c r="J49" s="177"/>
    </row>
    <row r="50" spans="1:10" hidden="1" x14ac:dyDescent="0.2">
      <c r="A50" s="170"/>
      <c r="B50" s="172" t="s">
        <v>115</v>
      </c>
      <c r="C50" s="172" t="s">
        <v>1083</v>
      </c>
      <c r="D50" s="173"/>
      <c r="E50" s="173"/>
      <c r="F50" s="173">
        <f ca="1">'Расчет стоимости'!T367</f>
        <v>0</v>
      </c>
      <c r="G50" s="173">
        <f t="shared" ca="1" si="9"/>
        <v>0</v>
      </c>
    </row>
    <row r="51" spans="1:10" hidden="1" x14ac:dyDescent="0.2">
      <c r="A51" s="170"/>
      <c r="B51" s="172" t="s">
        <v>115</v>
      </c>
      <c r="C51" s="172" t="s">
        <v>1084</v>
      </c>
      <c r="D51" s="173"/>
      <c r="E51" s="173"/>
      <c r="F51" s="173">
        <f ca="1">'Расчет стоимости'!T368</f>
        <v>0</v>
      </c>
      <c r="G51" s="173">
        <f t="shared" ca="1" si="9"/>
        <v>0</v>
      </c>
    </row>
    <row r="52" spans="1:10" hidden="1" x14ac:dyDescent="0.2">
      <c r="A52" s="170"/>
      <c r="B52" s="178" t="s">
        <v>115</v>
      </c>
      <c r="C52" s="172" t="s">
        <v>1085</v>
      </c>
      <c r="D52" s="173"/>
      <c r="E52" s="173"/>
      <c r="F52" s="173">
        <f ca="1">'Расчет стоимости'!T369</f>
        <v>0</v>
      </c>
      <c r="G52" s="173">
        <f t="shared" ca="1" si="9"/>
        <v>0</v>
      </c>
    </row>
    <row r="53" spans="1:10" hidden="1" x14ac:dyDescent="0.2">
      <c r="A53" s="170"/>
      <c r="B53" s="172" t="s">
        <v>115</v>
      </c>
      <c r="C53" s="172" t="s">
        <v>1243</v>
      </c>
      <c r="D53" s="173"/>
      <c r="E53" s="173"/>
      <c r="F53" s="173">
        <f ca="1">'Расчет стоимости'!T370-F59-F22</f>
        <v>4557.2704979104219</v>
      </c>
      <c r="G53" s="173">
        <f t="shared" ca="1" si="9"/>
        <v>4557.2704979104219</v>
      </c>
    </row>
    <row r="54" spans="1:10" hidden="1" x14ac:dyDescent="0.2">
      <c r="A54" s="170"/>
      <c r="B54" s="172" t="s">
        <v>115</v>
      </c>
      <c r="C54" s="172" t="s">
        <v>1244</v>
      </c>
      <c r="D54" s="173"/>
      <c r="E54" s="173"/>
      <c r="F54" s="173">
        <f ca="1">'Расчет стоимости'!T371-F60-F23</f>
        <v>0</v>
      </c>
      <c r="G54" s="173">
        <f t="shared" ca="1" si="9"/>
        <v>0</v>
      </c>
    </row>
    <row r="55" spans="1:10" hidden="1" x14ac:dyDescent="0.2">
      <c r="A55" s="170"/>
      <c r="B55" s="172" t="s">
        <v>115</v>
      </c>
      <c r="C55" s="172" t="s">
        <v>1245</v>
      </c>
      <c r="D55" s="173"/>
      <c r="E55" s="173"/>
      <c r="F55" s="173">
        <f ca="1">'Расчет стоимости'!T372-F61-F24</f>
        <v>-0.18537794017898171</v>
      </c>
      <c r="G55" s="173">
        <f t="shared" ca="1" si="9"/>
        <v>-0.18537794017898171</v>
      </c>
    </row>
    <row r="56" spans="1:10" s="177" customFormat="1" hidden="1" x14ac:dyDescent="0.2">
      <c r="A56" s="174"/>
      <c r="B56" s="171"/>
      <c r="C56" s="171" t="s">
        <v>1096</v>
      </c>
      <c r="D56" s="175">
        <f t="shared" ref="D56:E56" ca="1" si="10">SUM(D47:D55)</f>
        <v>462.16</v>
      </c>
      <c r="E56" s="175">
        <f t="shared" si="10"/>
        <v>0</v>
      </c>
      <c r="F56" s="175">
        <f ca="1">SUM(F47:F55)</f>
        <v>4557.0851199702429</v>
      </c>
      <c r="G56" s="175">
        <f t="shared" ca="1" si="9"/>
        <v>5019.2451199702427</v>
      </c>
      <c r="H56" s="176"/>
      <c r="I56" s="176"/>
    </row>
    <row r="57" spans="1:10" s="177" customFormat="1" hidden="1" x14ac:dyDescent="0.2">
      <c r="A57" s="174"/>
      <c r="B57" s="171"/>
      <c r="C57" s="171" t="s">
        <v>317</v>
      </c>
      <c r="D57" s="175">
        <f ca="1">D45+D56</f>
        <v>28633.54493718137</v>
      </c>
      <c r="E57" s="175">
        <f ca="1">E45+E56</f>
        <v>1195.2584178719121</v>
      </c>
      <c r="F57" s="175">
        <f ca="1">F45+F56</f>
        <v>4557.0851199702429</v>
      </c>
      <c r="G57" s="175">
        <f t="shared" ca="1" si="9"/>
        <v>34385.888475023523</v>
      </c>
      <c r="H57" s="176"/>
      <c r="I57" s="176"/>
    </row>
    <row r="58" spans="1:10" s="177" customFormat="1" x14ac:dyDescent="0.2">
      <c r="A58" s="174"/>
      <c r="B58" s="171" t="s">
        <v>21</v>
      </c>
      <c r="C58" s="171"/>
      <c r="D58" s="175"/>
      <c r="E58" s="175"/>
      <c r="F58" s="175"/>
      <c r="G58" s="175"/>
      <c r="H58" s="176"/>
      <c r="I58" s="176"/>
    </row>
    <row r="59" spans="1:10" hidden="1" x14ac:dyDescent="0.2">
      <c r="A59" s="170"/>
      <c r="B59" s="178"/>
      <c r="C59" s="172" t="s">
        <v>1240</v>
      </c>
      <c r="D59" s="173"/>
      <c r="E59" s="173"/>
      <c r="F59" s="179">
        <f ca="1">ROUND('Расчет стоимости'!R107*'Расчет стоимости'!$W$397,2)</f>
        <v>1383.39</v>
      </c>
      <c r="G59" s="173">
        <f t="shared" ref="G59:G63" ca="1" si="11">IFERROR(D59+E59+F59,0)</f>
        <v>1383.39</v>
      </c>
    </row>
    <row r="60" spans="1:10" hidden="1" x14ac:dyDescent="0.2">
      <c r="A60" s="170"/>
      <c r="B60" s="178"/>
      <c r="C60" s="172" t="s">
        <v>1241</v>
      </c>
      <c r="D60" s="173"/>
      <c r="E60" s="173"/>
      <c r="F60" s="179">
        <f ca="1">ROUND('Расчет стоимости'!R185*'Расчет стоимости'!$W$397,2)</f>
        <v>0</v>
      </c>
      <c r="G60" s="173">
        <f t="shared" ca="1" si="11"/>
        <v>0</v>
      </c>
    </row>
    <row r="61" spans="1:10" hidden="1" x14ac:dyDescent="0.2">
      <c r="A61" s="170"/>
      <c r="B61" s="178"/>
      <c r="C61" s="172" t="s">
        <v>1242</v>
      </c>
      <c r="D61" s="173"/>
      <c r="E61" s="173"/>
      <c r="F61" s="179">
        <f ca="1">ROUND('Расчет стоимости'!R303*'Расчет стоимости'!$W$397,2)</f>
        <v>0</v>
      </c>
      <c r="G61" s="173">
        <f t="shared" ca="1" si="11"/>
        <v>0</v>
      </c>
    </row>
    <row r="62" spans="1:10" s="177" customFormat="1" hidden="1" x14ac:dyDescent="0.2">
      <c r="A62" s="174"/>
      <c r="B62" s="171"/>
      <c r="C62" s="171" t="s">
        <v>23</v>
      </c>
      <c r="D62" s="175"/>
      <c r="E62" s="175"/>
      <c r="F62" s="175">
        <f ca="1">SUM(F59:F61)</f>
        <v>1383.39</v>
      </c>
      <c r="G62" s="175">
        <f t="shared" ca="1" si="11"/>
        <v>1383.39</v>
      </c>
      <c r="H62" s="176"/>
      <c r="I62" s="176"/>
    </row>
    <row r="63" spans="1:10" s="177" customFormat="1" hidden="1" x14ac:dyDescent="0.2">
      <c r="A63" s="174"/>
      <c r="B63" s="171"/>
      <c r="C63" s="171" t="s">
        <v>1086</v>
      </c>
      <c r="D63" s="175">
        <f ca="1">D57+D62</f>
        <v>28633.54493718137</v>
      </c>
      <c r="E63" s="175">
        <f ca="1">E57+E62</f>
        <v>1195.2584178719121</v>
      </c>
      <c r="F63" s="175">
        <f ca="1">F57+F62</f>
        <v>5940.4751199702432</v>
      </c>
      <c r="G63" s="175">
        <f t="shared" ca="1" si="11"/>
        <v>35769.278475023522</v>
      </c>
      <c r="H63" s="176"/>
      <c r="I63" s="176"/>
    </row>
    <row r="64" spans="1:10" s="177" customFormat="1" hidden="1" x14ac:dyDescent="0.2">
      <c r="A64" s="174"/>
      <c r="B64" s="171" t="s">
        <v>22</v>
      </c>
      <c r="C64" s="171"/>
      <c r="D64" s="175"/>
      <c r="E64" s="175"/>
      <c r="F64" s="175"/>
      <c r="G64" s="175"/>
      <c r="H64" s="176"/>
      <c r="I64" s="176"/>
    </row>
    <row r="65" spans="1:14" s="177" customFormat="1" hidden="1" x14ac:dyDescent="0.2">
      <c r="A65" s="174"/>
      <c r="B65" s="171" t="s">
        <v>115</v>
      </c>
      <c r="C65" s="171"/>
      <c r="D65" s="175"/>
      <c r="E65" s="175"/>
      <c r="F65" s="175"/>
      <c r="G65" s="175">
        <f>IFERROR(D65+#REF!+E65+F65,0)</f>
        <v>0</v>
      </c>
      <c r="H65" s="176"/>
      <c r="I65" s="176"/>
    </row>
    <row r="66" spans="1:14" s="177" customFormat="1" hidden="1" x14ac:dyDescent="0.2">
      <c r="A66" s="174"/>
      <c r="B66" s="171"/>
      <c r="C66" s="171" t="s">
        <v>313</v>
      </c>
      <c r="D66" s="175"/>
      <c r="E66" s="175"/>
      <c r="F66" s="175">
        <f t="shared" ref="F66" si="12">SUM(F65)</f>
        <v>0</v>
      </c>
      <c r="G66" s="175">
        <f>IFERROR(D66+#REF!+E66+F66,0)</f>
        <v>0</v>
      </c>
      <c r="H66" s="176"/>
      <c r="I66" s="176"/>
    </row>
    <row r="67" spans="1:14" s="177" customFormat="1" x14ac:dyDescent="0.2">
      <c r="A67" s="174"/>
      <c r="B67" s="171" t="s">
        <v>24</v>
      </c>
      <c r="C67" s="171"/>
      <c r="D67" s="175"/>
      <c r="E67" s="175"/>
      <c r="F67" s="175"/>
      <c r="G67" s="175"/>
      <c r="H67" s="176"/>
      <c r="I67" s="176"/>
    </row>
    <row r="68" spans="1:14" hidden="1" x14ac:dyDescent="0.2">
      <c r="A68" s="170"/>
      <c r="B68" s="172"/>
      <c r="C68" s="172" t="s">
        <v>1081</v>
      </c>
      <c r="D68" s="173"/>
      <c r="E68" s="173"/>
      <c r="F68" s="173">
        <f ca="1">'Расчет стоимости'!T355</f>
        <v>2112.7816544209354</v>
      </c>
      <c r="G68" s="173">
        <f t="shared" ref="G68:G75" ca="1" si="13">IFERROR(D68+E68+F68,0)</f>
        <v>2112.7816544209354</v>
      </c>
    </row>
    <row r="69" spans="1:14" hidden="1" x14ac:dyDescent="0.2">
      <c r="A69" s="170"/>
      <c r="B69" s="178"/>
      <c r="C69" s="178" t="s">
        <v>1336</v>
      </c>
      <c r="D69" s="173"/>
      <c r="E69" s="173"/>
      <c r="F69" s="173">
        <f ca="1">'Расчет стоимости'!T356</f>
        <v>0</v>
      </c>
      <c r="G69" s="173">
        <f t="shared" ca="1" si="13"/>
        <v>0</v>
      </c>
    </row>
    <row r="70" spans="1:14" hidden="1" x14ac:dyDescent="0.2">
      <c r="A70" s="170"/>
      <c r="B70" s="172"/>
      <c r="C70" s="172" t="s">
        <v>1082</v>
      </c>
      <c r="D70" s="173"/>
      <c r="E70" s="173"/>
      <c r="F70" s="173">
        <f ca="1">'Расчет стоимости'!T357</f>
        <v>0</v>
      </c>
      <c r="G70" s="173">
        <f t="shared" ca="1" si="13"/>
        <v>0</v>
      </c>
    </row>
    <row r="71" spans="1:14" hidden="1" x14ac:dyDescent="0.2">
      <c r="A71" s="170"/>
      <c r="B71" s="172"/>
      <c r="C71" s="172" t="s">
        <v>25</v>
      </c>
      <c r="D71" s="173"/>
      <c r="E71" s="173"/>
      <c r="F71" s="173">
        <f ca="1">F68+F69+F70</f>
        <v>2112.7816544209354</v>
      </c>
      <c r="G71" s="173">
        <f t="shared" ca="1" si="13"/>
        <v>2112.7816544209354</v>
      </c>
    </row>
    <row r="72" spans="1:14" s="177" customFormat="1" hidden="1" x14ac:dyDescent="0.2">
      <c r="A72" s="174"/>
      <c r="B72" s="171"/>
      <c r="C72" s="171" t="s">
        <v>26</v>
      </c>
      <c r="D72" s="175">
        <f ca="1">D63+D71</f>
        <v>28633.54493718137</v>
      </c>
      <c r="E72" s="175">
        <f ca="1">E63+E71</f>
        <v>1195.2584178719121</v>
      </c>
      <c r="F72" s="175">
        <f ca="1">F63+F71</f>
        <v>8053.2567743911786</v>
      </c>
      <c r="G72" s="175">
        <f t="shared" ca="1" si="13"/>
        <v>37882.060129444464</v>
      </c>
      <c r="H72" s="176"/>
      <c r="I72" s="176"/>
      <c r="J72" s="145"/>
      <c r="K72" s="145"/>
      <c r="L72" s="145"/>
      <c r="M72" s="145"/>
      <c r="N72" s="145"/>
    </row>
    <row r="73" spans="1:14" ht="12.75" hidden="1" customHeight="1" x14ac:dyDescent="0.2">
      <c r="A73" s="170"/>
      <c r="B73" s="171"/>
      <c r="C73" s="172" t="s">
        <v>1240</v>
      </c>
      <c r="D73" s="173">
        <f t="shared" ref="D73:F75" ca="1" si="14">D31+D35+D41+D47+D50+D53+D59+D68</f>
        <v>28633.54493718137</v>
      </c>
      <c r="E73" s="173">
        <f t="shared" ca="1" si="14"/>
        <v>1195.2584178719121</v>
      </c>
      <c r="F73" s="173">
        <f t="shared" ca="1" si="14"/>
        <v>8053.4421523313576</v>
      </c>
      <c r="G73" s="173">
        <f t="shared" ca="1" si="13"/>
        <v>37882.245507384636</v>
      </c>
    </row>
    <row r="74" spans="1:14" ht="12.75" hidden="1" customHeight="1" x14ac:dyDescent="0.2">
      <c r="A74" s="170"/>
      <c r="B74" s="171"/>
      <c r="C74" s="172" t="s">
        <v>1241</v>
      </c>
      <c r="D74" s="173">
        <f t="shared" ca="1" si="14"/>
        <v>0</v>
      </c>
      <c r="E74" s="173">
        <f t="shared" ca="1" si="14"/>
        <v>0</v>
      </c>
      <c r="F74" s="173">
        <f t="shared" ca="1" si="14"/>
        <v>0</v>
      </c>
      <c r="G74" s="173">
        <f t="shared" ca="1" si="13"/>
        <v>0</v>
      </c>
    </row>
    <row r="75" spans="1:14" ht="12.75" hidden="1" customHeight="1" x14ac:dyDescent="0.2">
      <c r="A75" s="170"/>
      <c r="B75" s="171"/>
      <c r="C75" s="172" t="s">
        <v>1242</v>
      </c>
      <c r="D75" s="173">
        <f t="shared" ca="1" si="14"/>
        <v>0</v>
      </c>
      <c r="E75" s="173">
        <f t="shared" ca="1" si="14"/>
        <v>0</v>
      </c>
      <c r="F75" s="173">
        <f t="shared" ca="1" si="14"/>
        <v>-0.18537794017898171</v>
      </c>
      <c r="G75" s="173">
        <f t="shared" ca="1" si="13"/>
        <v>-0.18537794017898171</v>
      </c>
    </row>
    <row r="76" spans="1:14" s="177" customFormat="1" x14ac:dyDescent="0.2">
      <c r="A76" s="174"/>
      <c r="B76" s="171" t="s">
        <v>1237</v>
      </c>
      <c r="C76" s="171"/>
      <c r="D76" s="175"/>
      <c r="E76" s="175"/>
      <c r="F76" s="175"/>
      <c r="G76" s="175"/>
      <c r="H76" s="176"/>
      <c r="I76" s="176"/>
      <c r="J76" s="145"/>
      <c r="K76" s="145"/>
      <c r="L76" s="145"/>
      <c r="M76" s="145"/>
      <c r="N76" s="145"/>
    </row>
    <row r="77" spans="1:14" ht="63.75" hidden="1" x14ac:dyDescent="0.2">
      <c r="A77" s="170"/>
      <c r="B77" s="178" t="s">
        <v>1238</v>
      </c>
      <c r="C77" s="21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79">
        <f ca="1">IF($G$72,ROUND($G77*D72/$G72,2),0)</f>
        <v>713.93</v>
      </c>
      <c r="E77" s="179">
        <f t="shared" ref="E77:F77" ca="1" si="15">IF($G$72,ROUND($G77*E72/$G72,2),0)</f>
        <v>29.8</v>
      </c>
      <c r="F77" s="179">
        <f t="shared" ca="1" si="15"/>
        <v>200.79</v>
      </c>
      <c r="G77" s="173">
        <f ca="1">ROUND('Расчет стоимости'!T354*'Расчет стоимости'!T353,2)</f>
        <v>944.52</v>
      </c>
    </row>
    <row r="78" spans="1:14" s="177" customFormat="1" hidden="1" x14ac:dyDescent="0.2">
      <c r="A78" s="174"/>
      <c r="B78" s="180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2023 год</v>
      </c>
      <c r="C78" s="171"/>
      <c r="D78" s="175">
        <f ca="1">D72+D77</f>
        <v>29347.47493718137</v>
      </c>
      <c r="E78" s="175">
        <f ca="1">E72+E77</f>
        <v>1225.0584178719121</v>
      </c>
      <c r="F78" s="175">
        <f ca="1">F72+F77</f>
        <v>8254.0467743911795</v>
      </c>
      <c r="G78" s="175">
        <f ca="1">IFERROR(D78+E78+F78,0)</f>
        <v>38826.580129444461</v>
      </c>
      <c r="H78" s="176"/>
      <c r="I78" s="176"/>
      <c r="J78" s="145"/>
      <c r="K78" s="145"/>
      <c r="L78" s="145"/>
      <c r="M78" s="145"/>
      <c r="N78" s="145"/>
    </row>
    <row r="79" spans="1:14" s="177" customFormat="1" hidden="1" x14ac:dyDescent="0.2">
      <c r="A79" s="174"/>
      <c r="B79" s="171"/>
      <c r="C79" s="171" t="s">
        <v>195</v>
      </c>
      <c r="D79" s="175"/>
      <c r="E79" s="175"/>
      <c r="F79" s="175" t="e">
        <f>ROUND(#REF!*(1+#REF!/100),2)</f>
        <v>#REF!</v>
      </c>
      <c r="G79" s="175"/>
      <c r="H79" s="176"/>
      <c r="I79" s="176"/>
      <c r="J79" s="145"/>
      <c r="K79" s="145"/>
      <c r="L79" s="145"/>
      <c r="M79" s="145"/>
      <c r="N79" s="145"/>
    </row>
    <row r="80" spans="1:14" s="177" customFormat="1" hidden="1" x14ac:dyDescent="0.2">
      <c r="A80" s="174"/>
      <c r="B80" s="171"/>
      <c r="C80" s="171"/>
      <c r="D80" s="175"/>
      <c r="E80" s="175"/>
      <c r="F80" s="175"/>
      <c r="G80" s="175"/>
      <c r="H80" s="176"/>
      <c r="I80" s="176"/>
      <c r="J80" s="145"/>
      <c r="K80" s="145"/>
      <c r="L80" s="145"/>
      <c r="M80" s="145"/>
      <c r="N80" s="145"/>
    </row>
    <row r="81" spans="1:14" s="177" customFormat="1" x14ac:dyDescent="0.2">
      <c r="A81" s="174"/>
      <c r="B81" s="171" t="s">
        <v>27</v>
      </c>
      <c r="C81" s="171"/>
      <c r="D81" s="175"/>
      <c r="E81" s="175"/>
      <c r="F81" s="175"/>
      <c r="G81" s="175"/>
      <c r="H81" s="176"/>
      <c r="I81" s="176"/>
      <c r="J81" s="145"/>
      <c r="K81" s="145"/>
      <c r="L81" s="145"/>
      <c r="M81" s="145"/>
      <c r="N81" s="145"/>
    </row>
    <row r="82" spans="1:14" x14ac:dyDescent="0.2">
      <c r="A82" s="170"/>
      <c r="B82" s="172" t="s">
        <v>28</v>
      </c>
      <c r="C82" s="172" t="s">
        <v>29</v>
      </c>
      <c r="D82" s="173">
        <f ca="1">ROUND(D78*0.18,2)</f>
        <v>5282.55</v>
      </c>
      <c r="E82" s="173">
        <f t="shared" ref="E82:F82" ca="1" si="16">ROUND(E78*0.18,2)</f>
        <v>220.51</v>
      </c>
      <c r="F82" s="173">
        <f t="shared" ca="1" si="16"/>
        <v>1485.73</v>
      </c>
      <c r="G82" s="173">
        <f ca="1">IFERROR(D82+E82+F82,0)</f>
        <v>6988.7900000000009</v>
      </c>
    </row>
    <row r="83" spans="1:14" s="177" customFormat="1" x14ac:dyDescent="0.2">
      <c r="A83" s="174"/>
      <c r="B83" s="171" t="s">
        <v>30</v>
      </c>
      <c r="C83" s="171"/>
      <c r="D83" s="175">
        <f ca="1">D78+D82</f>
        <v>34630.02493718137</v>
      </c>
      <c r="E83" s="175">
        <f ca="1">E78+E82</f>
        <v>1445.5684178719121</v>
      </c>
      <c r="F83" s="175">
        <f ca="1">F78+F82</f>
        <v>9739.7767743911791</v>
      </c>
      <c r="G83" s="175">
        <f ca="1">IFERROR(D83+E83+F83,0)</f>
        <v>45815.370129444462</v>
      </c>
      <c r="H83" s="176"/>
      <c r="I83" s="176"/>
      <c r="J83" s="145"/>
      <c r="K83" s="145"/>
    </row>
    <row r="85" spans="1:14" x14ac:dyDescent="0.2">
      <c r="G85" s="196"/>
    </row>
    <row r="86" spans="1:14" x14ac:dyDescent="0.2">
      <c r="B86" s="243" t="s">
        <v>1212</v>
      </c>
      <c r="C86" s="244"/>
      <c r="D86" s="243"/>
      <c r="E86" s="243"/>
      <c r="F86" s="245"/>
      <c r="G86" s="196"/>
    </row>
    <row r="87" spans="1:14" x14ac:dyDescent="0.2">
      <c r="G87" s="196"/>
    </row>
    <row r="89" spans="1:14" x14ac:dyDescent="0.2">
      <c r="B89" s="243" t="s">
        <v>1340</v>
      </c>
      <c r="C89" s="244"/>
      <c r="D89" s="243"/>
      <c r="E89" s="243"/>
      <c r="F89" s="245"/>
      <c r="G89" s="196"/>
    </row>
    <row r="94" spans="1:14" ht="15" x14ac:dyDescent="0.25">
      <c r="B94" s="461"/>
      <c r="C94" s="476"/>
      <c r="D94" s="477"/>
      <c r="E94" s="477"/>
      <c r="F94" s="477"/>
      <c r="G94" s="477"/>
      <c r="H94" s="478"/>
      <c r="I94" s="282"/>
      <c r="J94" s="461"/>
      <c r="K94" s="461"/>
    </row>
    <row r="95" spans="1:14" ht="15" x14ac:dyDescent="0.2">
      <c r="B95" s="461"/>
      <c r="C95" s="479"/>
      <c r="D95" s="480"/>
      <c r="E95" s="481"/>
      <c r="F95" s="481"/>
      <c r="G95" s="481"/>
      <c r="H95" s="480"/>
      <c r="I95" s="480"/>
      <c r="J95" s="480"/>
      <c r="K95" s="480"/>
    </row>
    <row r="96" spans="1:14" ht="15" x14ac:dyDescent="0.2">
      <c r="B96" s="461"/>
      <c r="C96" s="482"/>
      <c r="D96" s="483"/>
      <c r="E96" s="483"/>
      <c r="F96" s="483"/>
      <c r="G96" s="483"/>
      <c r="H96" s="484"/>
      <c r="I96" s="484"/>
      <c r="J96" s="483"/>
      <c r="K96" s="483"/>
    </row>
    <row r="97" spans="2:11" ht="15" x14ac:dyDescent="0.2">
      <c r="B97" s="461"/>
      <c r="C97" s="482"/>
      <c r="D97" s="483"/>
      <c r="E97" s="483"/>
      <c r="F97" s="483"/>
      <c r="G97" s="483"/>
      <c r="H97" s="484"/>
      <c r="I97" s="484"/>
      <c r="J97" s="483"/>
      <c r="K97" s="483"/>
    </row>
    <row r="98" spans="2:11" ht="15" x14ac:dyDescent="0.2">
      <c r="B98" s="461"/>
      <c r="C98" s="482"/>
      <c r="D98" s="483"/>
      <c r="E98" s="483"/>
      <c r="F98" s="483"/>
      <c r="G98" s="483"/>
      <c r="H98" s="484"/>
      <c r="I98" s="484"/>
      <c r="J98" s="483"/>
      <c r="K98" s="483"/>
    </row>
    <row r="99" spans="2:11" ht="15" x14ac:dyDescent="0.25">
      <c r="B99" s="461"/>
      <c r="C99" s="485"/>
      <c r="D99" s="483"/>
      <c r="E99" s="483"/>
      <c r="F99" s="483"/>
      <c r="G99" s="483"/>
      <c r="H99" s="484"/>
      <c r="I99" s="484"/>
      <c r="J99" s="483"/>
      <c r="K99" s="483"/>
    </row>
    <row r="100" spans="2:11" ht="15" x14ac:dyDescent="0.25">
      <c r="B100" s="461"/>
      <c r="C100" s="485"/>
      <c r="D100" s="483"/>
      <c r="E100" s="483"/>
      <c r="F100" s="483"/>
      <c r="G100" s="483"/>
      <c r="H100" s="484"/>
      <c r="I100" s="484"/>
      <c r="J100" s="483"/>
      <c r="K100" s="483"/>
    </row>
    <row r="101" spans="2:11" ht="15" x14ac:dyDescent="0.25">
      <c r="B101" s="461"/>
      <c r="C101" s="485"/>
      <c r="D101" s="483"/>
      <c r="E101" s="483"/>
      <c r="F101" s="483"/>
      <c r="G101" s="483"/>
      <c r="H101" s="484"/>
      <c r="I101" s="484"/>
      <c r="J101" s="483"/>
      <c r="K101" s="483"/>
    </row>
  </sheetData>
  <sheetProtection algorithmName="SHA-512" hashValue="I1xnew3OHkW+EysTY5OjD85DIIEp//HCHmwV2ZKcEhiNbuFwxpV5FHSbtJbboA6RCPPocN3TFhdq/t040slVLw==" saltValue="4hLqDNMkTrVvQWxEiNsiOg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14" priority="27" operator="equal">
      <formula>"нет"</formula>
    </cfRule>
  </conditionalFormatting>
  <conditionalFormatting sqref="D25:F25">
    <cfRule type="cellIs" dxfId="13" priority="2" operator="equal">
      <formula>"нет"</formula>
    </cfRule>
  </conditionalFormatting>
  <conditionalFormatting sqref="F22:F24">
    <cfRule type="cellIs" dxfId="12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D41" sqref="D41"/>
      <selection pane="bottomLeft" activeCell="D41" sqref="D41"/>
    </sheetView>
  </sheetViews>
  <sheetFormatPr defaultColWidth="9.140625" defaultRowHeight="12.75" x14ac:dyDescent="0.2"/>
  <cols>
    <col min="1" max="1" width="5.5703125" style="60" customWidth="1"/>
    <col min="2" max="2" width="58.7109375" style="60" customWidth="1"/>
    <col min="3" max="3" width="9.140625" style="54"/>
    <col min="4" max="4" width="9" style="54" customWidth="1"/>
    <col min="5" max="5" width="9.140625" style="52"/>
    <col min="6" max="6" width="11.5703125" style="60" customWidth="1"/>
    <col min="7" max="12" width="9.140625" style="60"/>
    <col min="13" max="13" width="40.140625" style="60" customWidth="1"/>
    <col min="14" max="14" width="9.140625" style="54"/>
    <col min="15" max="16384" width="9.1406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3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3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3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3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3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3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3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3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3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3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3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3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3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3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3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3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3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3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3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3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3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3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3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3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3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3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3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3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3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3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3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3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3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3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3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3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3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3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3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3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3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3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3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3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3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3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3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3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3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3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3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3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3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3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3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3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3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3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3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3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3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3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3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3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3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3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3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3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3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3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3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3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3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3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3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3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3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3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3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3"/>
    </row>
    <row r="86" spans="1:12" x14ac:dyDescent="0.2">
      <c r="D86" s="55"/>
      <c r="L86" s="63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3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3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3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3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3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3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3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3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3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3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3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3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3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3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3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3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3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3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3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3"/>
    </row>
    <row r="107" spans="1:12" x14ac:dyDescent="0.2">
      <c r="D107" s="55"/>
      <c r="L107" s="63"/>
    </row>
    <row r="108" spans="1:12" x14ac:dyDescent="0.2">
      <c r="A108" s="60">
        <v>3</v>
      </c>
      <c r="B108" s="47" t="s">
        <v>367</v>
      </c>
      <c r="D108" s="55"/>
      <c r="L108" s="63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3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3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3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3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3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3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3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3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3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3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3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3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3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3"/>
    </row>
    <row r="123" spans="1:12" x14ac:dyDescent="0.2">
      <c r="D123" s="55"/>
      <c r="L123" s="63"/>
    </row>
    <row r="124" spans="1:12" x14ac:dyDescent="0.2">
      <c r="A124" s="60">
        <v>5</v>
      </c>
      <c r="B124" s="47" t="s">
        <v>462</v>
      </c>
      <c r="D124" s="55"/>
      <c r="L124" s="63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3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3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3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3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3"/>
    </row>
    <row r="130" spans="1:12" x14ac:dyDescent="0.2">
      <c r="D130" s="55"/>
      <c r="L130" s="63"/>
    </row>
    <row r="131" spans="1:12" x14ac:dyDescent="0.2">
      <c r="A131" s="60">
        <v>6</v>
      </c>
      <c r="B131" s="47" t="s">
        <v>381</v>
      </c>
      <c r="D131" s="55"/>
      <c r="L131" s="63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3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3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3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3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3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3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3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3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3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3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3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3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3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3"/>
    </row>
    <row r="146" spans="1:12" x14ac:dyDescent="0.2">
      <c r="B146" s="60" t="s">
        <v>1395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3"/>
    </row>
    <row r="147" spans="1:12" x14ac:dyDescent="0.2">
      <c r="D147" s="55"/>
      <c r="L147" s="63"/>
    </row>
    <row r="148" spans="1:12" x14ac:dyDescent="0.2">
      <c r="A148" s="60">
        <v>31</v>
      </c>
      <c r="B148" s="47" t="s">
        <v>840</v>
      </c>
      <c r="D148" s="55"/>
      <c r="L148" s="63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3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3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3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3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3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3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3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3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3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3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3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3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3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3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3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3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3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3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3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3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3"/>
    </row>
    <row r="170" spans="1:12" x14ac:dyDescent="0.2">
      <c r="D170" s="55"/>
      <c r="L170" s="63"/>
    </row>
    <row r="171" spans="1:12" x14ac:dyDescent="0.2">
      <c r="A171" s="60">
        <v>31</v>
      </c>
      <c r="B171" s="47" t="s">
        <v>1150</v>
      </c>
      <c r="D171" s="55"/>
      <c r="L171" s="63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3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3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3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3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3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3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3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3"/>
    </row>
    <row r="180" spans="1:12" x14ac:dyDescent="0.2">
      <c r="D180" s="55"/>
      <c r="L180" s="63"/>
    </row>
    <row r="181" spans="1:12" x14ac:dyDescent="0.2">
      <c r="A181" s="60">
        <v>32</v>
      </c>
      <c r="B181" s="47" t="s">
        <v>1155</v>
      </c>
      <c r="D181" s="55"/>
      <c r="L181" s="63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3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3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3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3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3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3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3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3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3"/>
    </row>
    <row r="191" spans="1:12" x14ac:dyDescent="0.2">
      <c r="D191" s="55"/>
      <c r="L191" s="63"/>
    </row>
    <row r="192" spans="1:12" x14ac:dyDescent="0.2">
      <c r="A192" s="60">
        <v>32</v>
      </c>
      <c r="B192" s="47" t="s">
        <v>1165</v>
      </c>
      <c r="D192" s="55"/>
      <c r="L192" s="63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3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3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3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3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3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3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3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3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3"/>
    </row>
    <row r="202" spans="1:12" x14ac:dyDescent="0.2">
      <c r="D202" s="55"/>
      <c r="L202" s="63"/>
    </row>
    <row r="203" spans="1:12" ht="13.5" x14ac:dyDescent="0.25">
      <c r="B203" s="22" t="s">
        <v>839</v>
      </c>
      <c r="D203" s="55"/>
      <c r="L203" s="63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3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2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2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2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2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2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2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2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2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2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2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2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2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2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2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2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2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2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2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2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2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2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2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2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2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2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2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2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2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2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2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2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2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2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2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2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2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2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2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2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2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2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2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2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2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2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2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2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2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2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2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2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2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2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2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2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2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2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2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2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2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2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2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2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2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2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2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2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2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2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2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2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2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2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2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2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2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2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2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2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2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2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2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2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2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2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2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2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2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2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2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2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2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2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2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2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2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2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2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2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2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2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2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2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2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2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2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2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2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2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2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2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2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2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2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2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2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2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2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2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2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2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2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2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2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2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2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2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2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2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2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2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2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2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2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2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3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3"/>
    </row>
    <row r="342" spans="1:12" x14ac:dyDescent="0.2">
      <c r="D342" s="55"/>
      <c r="L342" s="63"/>
    </row>
    <row r="343" spans="1:12" x14ac:dyDescent="0.2">
      <c r="A343" s="60">
        <v>11</v>
      </c>
      <c r="B343" s="47" t="s">
        <v>652</v>
      </c>
      <c r="D343" s="55"/>
      <c r="L343" s="63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3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3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3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3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3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3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3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3"/>
    </row>
    <row r="352" spans="1:12" x14ac:dyDescent="0.2">
      <c r="D352" s="55"/>
      <c r="L352" s="63"/>
    </row>
    <row r="353" spans="1:16" x14ac:dyDescent="0.2">
      <c r="A353" s="60">
        <v>12</v>
      </c>
      <c r="B353" s="47" t="s">
        <v>661</v>
      </c>
      <c r="D353" s="55"/>
      <c r="L353" s="63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3"/>
    </row>
    <row r="355" spans="1:16" x14ac:dyDescent="0.2">
      <c r="B355" s="60" t="s">
        <v>665</v>
      </c>
      <c r="C355" s="54" t="s">
        <v>488</v>
      </c>
      <c r="D355" s="55"/>
      <c r="E355" s="217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3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3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3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3"/>
    </row>
    <row r="359" spans="1:16" x14ac:dyDescent="0.2">
      <c r="D359" s="55"/>
      <c r="L359" s="63"/>
    </row>
    <row r="360" spans="1:16" x14ac:dyDescent="0.2">
      <c r="A360" s="60">
        <v>13</v>
      </c>
      <c r="B360" s="47" t="s">
        <v>662</v>
      </c>
      <c r="D360" s="55"/>
      <c r="L360" s="63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3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3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3"/>
    </row>
    <row r="364" spans="1:16" x14ac:dyDescent="0.2">
      <c r="D364" s="55"/>
      <c r="L364" s="63"/>
    </row>
    <row r="365" spans="1:16" ht="13.5" x14ac:dyDescent="0.25">
      <c r="B365" s="22" t="s">
        <v>926</v>
      </c>
      <c r="D365" s="55"/>
      <c r="L365" s="63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3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3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3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3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3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3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3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3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3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3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3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3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3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3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3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3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3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3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3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3"/>
      <c r="O385" s="55"/>
      <c r="P385" s="52"/>
    </row>
    <row r="386" spans="2:16" x14ac:dyDescent="0.2">
      <c r="D386" s="55"/>
      <c r="L386" s="63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3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3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3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3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3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3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3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3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3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3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3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3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3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3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3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3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3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3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3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3"/>
    </row>
    <row r="407" spans="1:16" x14ac:dyDescent="0.2">
      <c r="D407" s="55"/>
      <c r="L407" s="63"/>
    </row>
    <row r="408" spans="1:16" x14ac:dyDescent="0.2">
      <c r="A408" s="60">
        <v>16</v>
      </c>
      <c r="B408" s="47" t="s">
        <v>683</v>
      </c>
      <c r="D408" s="55"/>
      <c r="L408" s="63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3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3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3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3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3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3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3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3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3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3"/>
      <c r="O418" s="55"/>
      <c r="P418" s="52"/>
    </row>
    <row r="419" spans="1:16" x14ac:dyDescent="0.2">
      <c r="D419" s="55"/>
      <c r="L419" s="63"/>
      <c r="O419" s="55"/>
      <c r="P419" s="52"/>
    </row>
    <row r="420" spans="1:16" x14ac:dyDescent="0.2">
      <c r="B420" s="47" t="s">
        <v>1186</v>
      </c>
      <c r="D420" s="55"/>
      <c r="L420" s="63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3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3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3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3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3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3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3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3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3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3"/>
    </row>
    <row r="431" spans="1:16" x14ac:dyDescent="0.2">
      <c r="D431" s="55"/>
      <c r="L431" s="63"/>
    </row>
    <row r="432" spans="1:16" x14ac:dyDescent="0.2">
      <c r="A432" s="60">
        <v>28</v>
      </c>
      <c r="B432" s="47" t="s">
        <v>807</v>
      </c>
      <c r="D432" s="55"/>
      <c r="L432" s="63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3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3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3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3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3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3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3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3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3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3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3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3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3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3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3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3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3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3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3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3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3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3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3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3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3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3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3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3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3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3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3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3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3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3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3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3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3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3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3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3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3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3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3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3"/>
    </row>
    <row r="477" spans="1:12" x14ac:dyDescent="0.2">
      <c r="D477" s="55"/>
      <c r="L477" s="63"/>
    </row>
    <row r="478" spans="1:12" x14ac:dyDescent="0.2">
      <c r="A478" s="60">
        <v>18</v>
      </c>
      <c r="B478" s="47" t="s">
        <v>698</v>
      </c>
      <c r="D478" s="55"/>
      <c r="L478" s="63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3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3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3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3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3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3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3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3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3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3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3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3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3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3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3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3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3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3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3">
        <v>1</v>
      </c>
    </row>
    <row r="499" spans="1:12" x14ac:dyDescent="0.2">
      <c r="D499" s="55"/>
      <c r="L499" s="63"/>
    </row>
    <row r="500" spans="1:12" x14ac:dyDescent="0.2">
      <c r="A500" s="60">
        <v>19</v>
      </c>
      <c r="B500" s="47" t="s">
        <v>708</v>
      </c>
      <c r="D500" s="55"/>
      <c r="L500" s="63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3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3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3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3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3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3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3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3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3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3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3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3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3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3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3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3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3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3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3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3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3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3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3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3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3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3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3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3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3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3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3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3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3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3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3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3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3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3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3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3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3"/>
    </row>
    <row r="542" spans="1:12" x14ac:dyDescent="0.2">
      <c r="D542" s="55"/>
      <c r="L542" s="63"/>
    </row>
    <row r="543" spans="1:12" x14ac:dyDescent="0.2">
      <c r="A543" s="60">
        <v>21</v>
      </c>
      <c r="B543" s="47" t="s">
        <v>309</v>
      </c>
      <c r="D543" s="55"/>
      <c r="L543" s="63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3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3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3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3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3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3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3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3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3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3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3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3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3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3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3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3"/>
    </row>
    <row r="560" spans="2:12" x14ac:dyDescent="0.2">
      <c r="D560" s="55"/>
      <c r="L560" s="63"/>
    </row>
    <row r="561" spans="1:12" x14ac:dyDescent="0.2">
      <c r="A561" s="60">
        <v>22</v>
      </c>
      <c r="B561" s="47" t="s">
        <v>769</v>
      </c>
      <c r="D561" s="55"/>
      <c r="L561" s="63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3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3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3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3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3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3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3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3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3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3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3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3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3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3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3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3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3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3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3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3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3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3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3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3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3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3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3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3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3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3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3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3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3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3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3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3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3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3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3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3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3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3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3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3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3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3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3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3"/>
    </row>
    <row r="610" spans="1:12" x14ac:dyDescent="0.2">
      <c r="D610" s="55"/>
      <c r="L610" s="63"/>
    </row>
    <row r="611" spans="1:12" x14ac:dyDescent="0.2">
      <c r="A611" s="60">
        <v>30</v>
      </c>
      <c r="B611" s="47" t="s">
        <v>872</v>
      </c>
      <c r="D611" s="55"/>
      <c r="L611" s="63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3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3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3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3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3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3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3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3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3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3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3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3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3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3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3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3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3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3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3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3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3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3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3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3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3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3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3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3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3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3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3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3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3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3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3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3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3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3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3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3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3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3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3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3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3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3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3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3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3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3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3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3"/>
    </row>
    <row r="664" spans="2:12" x14ac:dyDescent="0.2">
      <c r="D664" s="55"/>
      <c r="L664" s="63"/>
    </row>
    <row r="665" spans="2:12" x14ac:dyDescent="0.2">
      <c r="B665" s="47" t="s">
        <v>1329</v>
      </c>
      <c r="D665" s="55"/>
      <c r="E665" s="52" t="s">
        <v>1328</v>
      </c>
      <c r="L665" s="63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3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3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3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3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3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3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3"/>
    </row>
    <row r="673" spans="2:12" x14ac:dyDescent="0.2">
      <c r="D673" s="55"/>
      <c r="L673" s="63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3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3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3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3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3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3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3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3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3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3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3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3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3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3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3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3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3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3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3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6" t="s">
        <v>439</v>
      </c>
    </row>
    <row r="701" spans="2:12" x14ac:dyDescent="0.2">
      <c r="B701" s="60" t="s">
        <v>1282</v>
      </c>
      <c r="D701" s="206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3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3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3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3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3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3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3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3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topLeftCell="A152" zoomScale="90" zoomScaleNormal="90" workbookViewId="0">
      <pane xSplit="2" topLeftCell="C1" activePane="topRight" state="frozen"/>
      <selection activeCell="D41" sqref="D41"/>
      <selection pane="topRight" activeCell="D41" sqref="D41"/>
    </sheetView>
  </sheetViews>
  <sheetFormatPr defaultColWidth="9.140625" defaultRowHeight="12.75" x14ac:dyDescent="0.2"/>
  <cols>
    <col min="1" max="1" width="6.140625" style="373" customWidth="1"/>
    <col min="2" max="2" width="34.5703125" style="41" customWidth="1"/>
    <col min="3" max="5" width="9.140625" style="41"/>
    <col min="6" max="6" width="13.7109375" style="41" customWidth="1"/>
    <col min="7" max="8" width="9.140625" style="41"/>
    <col min="9" max="217" width="9.140625" style="145"/>
    <col min="218" max="219" width="9.140625" style="41"/>
    <col min="220" max="16384" width="9.140625" style="145"/>
  </cols>
  <sheetData>
    <row r="2" spans="1:251" x14ac:dyDescent="0.2">
      <c r="I2" s="145" t="s">
        <v>640</v>
      </c>
      <c r="T2" s="145" t="s">
        <v>646</v>
      </c>
      <c r="U2" s="145" t="s">
        <v>645</v>
      </c>
      <c r="V2" s="145" t="s">
        <v>644</v>
      </c>
      <c r="W2" s="145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5">
        <f t="shared" ref="I3" si="3">H3+1</f>
        <v>8</v>
      </c>
      <c r="J3" s="145">
        <f>I3+1</f>
        <v>9</v>
      </c>
      <c r="K3" s="145">
        <f>J3+1</f>
        <v>10</v>
      </c>
      <c r="L3" s="145">
        <f>K3+1</f>
        <v>11</v>
      </c>
      <c r="M3" s="145">
        <f t="shared" ref="M3" si="4">L3+1</f>
        <v>12</v>
      </c>
      <c r="N3" s="145">
        <f t="shared" si="0"/>
        <v>13</v>
      </c>
      <c r="O3" s="145">
        <f t="shared" si="0"/>
        <v>14</v>
      </c>
      <c r="P3" s="145">
        <f t="shared" si="0"/>
        <v>15</v>
      </c>
      <c r="Q3" s="145">
        <f t="shared" si="0"/>
        <v>16</v>
      </c>
      <c r="R3" s="145">
        <f t="shared" si="0"/>
        <v>17</v>
      </c>
      <c r="S3" s="145">
        <f t="shared" si="0"/>
        <v>18</v>
      </c>
      <c r="T3" s="145">
        <f t="shared" ref="T3" si="5">S3+1</f>
        <v>19</v>
      </c>
      <c r="U3" s="145">
        <f>T3+1</f>
        <v>20</v>
      </c>
      <c r="V3" s="145">
        <f>U3+1</f>
        <v>21</v>
      </c>
      <c r="W3" s="145">
        <f>V3+1</f>
        <v>22</v>
      </c>
      <c r="X3" s="145">
        <f t="shared" ref="X3" si="6">W3+1</f>
        <v>23</v>
      </c>
      <c r="Y3" s="145">
        <f t="shared" si="0"/>
        <v>24</v>
      </c>
      <c r="Z3" s="145">
        <f t="shared" si="0"/>
        <v>25</v>
      </c>
      <c r="AA3" s="145">
        <f t="shared" si="0"/>
        <v>26</v>
      </c>
      <c r="AB3" s="145">
        <f t="shared" si="0"/>
        <v>27</v>
      </c>
      <c r="AC3" s="145">
        <f t="shared" si="0"/>
        <v>28</v>
      </c>
      <c r="AD3" s="145">
        <f t="shared" si="0"/>
        <v>29</v>
      </c>
      <c r="AE3" s="145">
        <f t="shared" ref="AE3" si="7">AD3+1</f>
        <v>30</v>
      </c>
      <c r="AF3" s="145">
        <f t="shared" ref="AF3" si="8">AE3+1</f>
        <v>31</v>
      </c>
      <c r="AG3" s="145">
        <f t="shared" ref="AG3" si="9">AF3+1</f>
        <v>32</v>
      </c>
      <c r="AH3" s="145">
        <f t="shared" ref="AH3" si="10">AG3+1</f>
        <v>33</v>
      </c>
      <c r="AI3" s="145">
        <f t="shared" ref="AI3" si="11">AH3+1</f>
        <v>34</v>
      </c>
      <c r="AJ3" s="145">
        <f t="shared" ref="AJ3" si="12">AI3+1</f>
        <v>35</v>
      </c>
      <c r="AK3" s="145">
        <f t="shared" ref="AK3" si="13">AJ3+1</f>
        <v>36</v>
      </c>
      <c r="AL3" s="145">
        <f t="shared" ref="AL3" si="14">AK3+1</f>
        <v>37</v>
      </c>
      <c r="AM3" s="145">
        <f t="shared" ref="AM3" si="15">AL3+1</f>
        <v>38</v>
      </c>
      <c r="AN3" s="145">
        <f t="shared" ref="AN3" si="16">AM3+1</f>
        <v>39</v>
      </c>
      <c r="AO3" s="145">
        <f t="shared" ref="AO3" si="17">AN3+1</f>
        <v>40</v>
      </c>
      <c r="AP3" s="145">
        <f t="shared" ref="AP3" si="18">AO3+1</f>
        <v>41</v>
      </c>
      <c r="AQ3" s="145">
        <f t="shared" ref="AQ3" si="19">AP3+1</f>
        <v>42</v>
      </c>
      <c r="AR3" s="145">
        <f t="shared" ref="AR3" si="20">AQ3+1</f>
        <v>43</v>
      </c>
      <c r="AS3" s="145">
        <f t="shared" ref="AS3" si="21">AR3+1</f>
        <v>44</v>
      </c>
      <c r="AT3" s="145">
        <f t="shared" ref="AT3" si="22">AS3+1</f>
        <v>45</v>
      </c>
      <c r="AU3" s="145">
        <f t="shared" ref="AU3" si="23">AT3+1</f>
        <v>46</v>
      </c>
      <c r="AV3" s="145">
        <f t="shared" ref="AV3" si="24">AU3+1</f>
        <v>47</v>
      </c>
      <c r="AW3" s="145">
        <f t="shared" ref="AW3" si="25">AV3+1</f>
        <v>48</v>
      </c>
      <c r="AX3" s="145">
        <f t="shared" ref="AX3" si="26">AW3+1</f>
        <v>49</v>
      </c>
      <c r="AY3" s="145">
        <f t="shared" ref="AY3" si="27">AX3+1</f>
        <v>50</v>
      </c>
      <c r="AZ3" s="145">
        <f t="shared" ref="AZ3" si="28">AY3+1</f>
        <v>51</v>
      </c>
      <c r="BA3" s="145">
        <f t="shared" ref="BA3" si="29">AZ3+1</f>
        <v>52</v>
      </c>
      <c r="BB3" s="145">
        <f t="shared" ref="BB3" si="30">BA3+1</f>
        <v>53</v>
      </c>
      <c r="BC3" s="145">
        <f>BB3+1</f>
        <v>54</v>
      </c>
      <c r="BD3" s="145">
        <f t="shared" si="0"/>
        <v>55</v>
      </c>
      <c r="BE3" s="145">
        <f t="shared" si="0"/>
        <v>56</v>
      </c>
      <c r="BF3" s="145">
        <f t="shared" si="0"/>
        <v>57</v>
      </c>
      <c r="BG3" s="145">
        <f t="shared" si="0"/>
        <v>58</v>
      </c>
      <c r="BH3" s="145">
        <f t="shared" si="0"/>
        <v>59</v>
      </c>
      <c r="BI3" s="145">
        <f t="shared" si="0"/>
        <v>60</v>
      </c>
      <c r="BJ3" s="145">
        <f t="shared" si="0"/>
        <v>61</v>
      </c>
      <c r="BK3" s="145">
        <f t="shared" ref="BK3" si="31">BJ3+1</f>
        <v>62</v>
      </c>
      <c r="BL3" s="145">
        <f t="shared" ref="BL3" si="32">BK3+1</f>
        <v>63</v>
      </c>
      <c r="BM3" s="145">
        <f t="shared" ref="BM3" si="33">BL3+1</f>
        <v>64</v>
      </c>
      <c r="BN3" s="145">
        <f t="shared" ref="BN3" si="34">BM3+1</f>
        <v>65</v>
      </c>
      <c r="BO3" s="145">
        <f t="shared" ref="BO3" si="35">BN3+1</f>
        <v>66</v>
      </c>
      <c r="BP3" s="145">
        <f t="shared" ref="BP3" si="36">BO3+1</f>
        <v>67</v>
      </c>
      <c r="BQ3" s="145">
        <f t="shared" ref="BQ3" si="37">BP3+1</f>
        <v>68</v>
      </c>
      <c r="BR3" s="145">
        <f t="shared" ref="BR3" si="38">BQ3+1</f>
        <v>69</v>
      </c>
      <c r="BS3" s="145">
        <f t="shared" ref="BS3" si="39">BR3+1</f>
        <v>70</v>
      </c>
      <c r="BT3" s="145">
        <f t="shared" ref="BT3" si="40">BS3+1</f>
        <v>71</v>
      </c>
      <c r="BU3" s="145">
        <f t="shared" ref="BU3" si="41">BT3+1</f>
        <v>72</v>
      </c>
      <c r="BV3" s="145">
        <f t="shared" ref="BV3" si="42">BU3+1</f>
        <v>73</v>
      </c>
      <c r="BW3" s="145">
        <f t="shared" ref="BW3" si="43">BV3+1</f>
        <v>74</v>
      </c>
      <c r="BX3" s="145">
        <f t="shared" ref="BX3" si="44">BW3+1</f>
        <v>75</v>
      </c>
      <c r="BY3" s="145">
        <f t="shared" ref="BY3" si="45">BX3+1</f>
        <v>76</v>
      </c>
      <c r="BZ3" s="145">
        <f t="shared" ref="BZ3" si="46">BY3+1</f>
        <v>77</v>
      </c>
      <c r="CA3" s="145">
        <f t="shared" ref="CA3" si="47">BZ3+1</f>
        <v>78</v>
      </c>
      <c r="CB3" s="145">
        <f t="shared" ref="CB3" si="48">CA3+1</f>
        <v>79</v>
      </c>
      <c r="CC3" s="145">
        <f t="shared" ref="CC3" si="49">CB3+1</f>
        <v>80</v>
      </c>
      <c r="CD3" s="145">
        <f t="shared" ref="CD3" si="50">CC3+1</f>
        <v>81</v>
      </c>
      <c r="CE3" s="145">
        <f t="shared" ref="CE3" si="51">CD3+1</f>
        <v>82</v>
      </c>
      <c r="CF3" s="145">
        <f t="shared" ref="CF3" si="52">CE3+1</f>
        <v>83</v>
      </c>
      <c r="CG3" s="145">
        <f t="shared" ref="CG3" si="53">CF3+1</f>
        <v>84</v>
      </c>
      <c r="CH3" s="145">
        <f t="shared" ref="CH3" si="54">CG3+1</f>
        <v>85</v>
      </c>
      <c r="CI3" s="145">
        <f>CH3+1</f>
        <v>86</v>
      </c>
      <c r="CJ3" s="145">
        <f t="shared" ref="CJ3" si="55">CI3+1</f>
        <v>87</v>
      </c>
      <c r="CK3" s="145">
        <f t="shared" ref="CK3" si="56">CJ3+1</f>
        <v>88</v>
      </c>
      <c r="CL3" s="145">
        <f t="shared" ref="CL3" si="57">CK3+1</f>
        <v>89</v>
      </c>
      <c r="CM3" s="145">
        <f t="shared" ref="CM3" si="58">CL3+1</f>
        <v>90</v>
      </c>
      <c r="CN3" s="145">
        <f t="shared" ref="CN3" si="59">CM3+1</f>
        <v>91</v>
      </c>
      <c r="CO3" s="145">
        <f t="shared" ref="CO3" si="60">CN3+1</f>
        <v>92</v>
      </c>
      <c r="CP3" s="145">
        <f t="shared" ref="CP3" si="61">CO3+1</f>
        <v>93</v>
      </c>
      <c r="CQ3" s="145">
        <f t="shared" ref="CQ3" si="62">CP3+1</f>
        <v>94</v>
      </c>
      <c r="CR3" s="145">
        <f t="shared" ref="CR3" si="63">CQ3+1</f>
        <v>95</v>
      </c>
      <c r="CS3" s="145">
        <f t="shared" ref="CS3" si="64">CR3+1</f>
        <v>96</v>
      </c>
      <c r="CT3" s="145">
        <f t="shared" ref="CT3" si="65">CS3+1</f>
        <v>97</v>
      </c>
      <c r="CU3" s="145">
        <f t="shared" ref="CU3" si="66">CT3+1</f>
        <v>98</v>
      </c>
      <c r="CV3" s="145">
        <f t="shared" ref="CV3" si="67">CU3+1</f>
        <v>99</v>
      </c>
      <c r="CW3" s="145">
        <f t="shared" ref="CW3" si="68">CV3+1</f>
        <v>100</v>
      </c>
      <c r="CX3" s="145">
        <f t="shared" ref="CX3" si="69">CW3+1</f>
        <v>101</v>
      </c>
      <c r="CY3" s="145">
        <f t="shared" ref="CY3" si="70">CX3+1</f>
        <v>102</v>
      </c>
      <c r="CZ3" s="145">
        <f t="shared" ref="CZ3" si="71">CY3+1</f>
        <v>103</v>
      </c>
      <c r="DA3" s="145">
        <f t="shared" ref="DA3" si="72">CZ3+1</f>
        <v>104</v>
      </c>
      <c r="DB3" s="145">
        <f t="shared" ref="DB3" si="73">DA3+1</f>
        <v>105</v>
      </c>
      <c r="DC3" s="145">
        <f t="shared" ref="DC3" si="74">DB3+1</f>
        <v>106</v>
      </c>
      <c r="DD3" s="145">
        <f t="shared" ref="DD3" si="75">DC3+1</f>
        <v>107</v>
      </c>
      <c r="DE3" s="145">
        <f t="shared" ref="DE3" si="76">DD3+1</f>
        <v>108</v>
      </c>
      <c r="DF3" s="145">
        <f t="shared" ref="DF3" si="77">DE3+1</f>
        <v>109</v>
      </c>
      <c r="DG3" s="145">
        <f t="shared" ref="DG3" si="78">DF3+1</f>
        <v>110</v>
      </c>
      <c r="DH3" s="145">
        <f t="shared" ref="DH3" si="79">DG3+1</f>
        <v>111</v>
      </c>
      <c r="DI3" s="145">
        <f t="shared" ref="DI3" si="80">DH3+1</f>
        <v>112</v>
      </c>
      <c r="DJ3" s="145">
        <f t="shared" ref="DJ3" si="81">DI3+1</f>
        <v>113</v>
      </c>
      <c r="DK3" s="145">
        <f t="shared" ref="DK3" si="82">DJ3+1</f>
        <v>114</v>
      </c>
      <c r="DL3" s="145">
        <f t="shared" ref="DL3" si="83">DK3+1</f>
        <v>115</v>
      </c>
      <c r="DM3" s="145">
        <f t="shared" ref="DM3" si="84">DL3+1</f>
        <v>116</v>
      </c>
      <c r="DN3" s="145">
        <f t="shared" ref="DN3" si="85">DM3+1</f>
        <v>117</v>
      </c>
      <c r="DO3" s="145">
        <f>DN3+1</f>
        <v>118</v>
      </c>
      <c r="DP3" s="145">
        <f t="shared" ref="DP3" si="86">DO3+1</f>
        <v>119</v>
      </c>
      <c r="DQ3" s="145">
        <f t="shared" ref="DQ3" si="87">DP3+1</f>
        <v>120</v>
      </c>
      <c r="DR3" s="145">
        <f t="shared" ref="DR3" si="88">DQ3+1</f>
        <v>121</v>
      </c>
      <c r="DS3" s="145">
        <f t="shared" ref="DS3" si="89">DR3+1</f>
        <v>122</v>
      </c>
      <c r="DT3" s="145">
        <f t="shared" ref="DT3" si="90">DS3+1</f>
        <v>123</v>
      </c>
      <c r="DU3" s="145">
        <f t="shared" ref="DU3" si="91">DT3+1</f>
        <v>124</v>
      </c>
      <c r="DV3" s="145">
        <f t="shared" ref="DV3" si="92">DU3+1</f>
        <v>125</v>
      </c>
      <c r="DW3" s="145">
        <f t="shared" ref="DW3" si="93">DV3+1</f>
        <v>126</v>
      </c>
      <c r="DX3" s="145">
        <f t="shared" ref="DX3" si="94">DW3+1</f>
        <v>127</v>
      </c>
      <c r="DY3" s="145">
        <f t="shared" ref="DY3:DZ3" si="95">DX3+1</f>
        <v>128</v>
      </c>
      <c r="DZ3" s="145">
        <f t="shared" si="95"/>
        <v>129</v>
      </c>
      <c r="EA3" s="145">
        <f t="shared" ref="EA3" si="96">DZ3+1</f>
        <v>130</v>
      </c>
      <c r="EB3" s="145">
        <f t="shared" ref="EB3" si="97">EA3+1</f>
        <v>131</v>
      </c>
      <c r="EC3" s="145">
        <f t="shared" ref="EC3" si="98">EB3+1</f>
        <v>132</v>
      </c>
      <c r="ED3" s="145">
        <f t="shared" ref="ED3" si="99">EC3+1</f>
        <v>133</v>
      </c>
      <c r="EE3" s="145">
        <f t="shared" ref="EE3" si="100">ED3+1</f>
        <v>134</v>
      </c>
      <c r="EF3" s="145">
        <f t="shared" ref="EF3" si="101">EE3+1</f>
        <v>135</v>
      </c>
      <c r="EG3" s="145">
        <f t="shared" ref="EG3" si="102">EF3+1</f>
        <v>136</v>
      </c>
      <c r="EH3" s="145">
        <f t="shared" ref="EH3" si="103">EG3+1</f>
        <v>137</v>
      </c>
      <c r="EI3" s="145">
        <f t="shared" ref="EI3" si="104">EH3+1</f>
        <v>138</v>
      </c>
      <c r="EJ3" s="145">
        <f t="shared" ref="EJ3" si="105">EI3+1</f>
        <v>139</v>
      </c>
      <c r="EK3" s="145">
        <f t="shared" ref="EK3" si="106">EJ3+1</f>
        <v>140</v>
      </c>
      <c r="EL3" s="145">
        <f t="shared" ref="EL3" si="107">EK3+1</f>
        <v>141</v>
      </c>
      <c r="EM3" s="145">
        <f t="shared" ref="EM3" si="108">EL3+1</f>
        <v>142</v>
      </c>
      <c r="EN3" s="145">
        <f t="shared" ref="EN3" si="109">EM3+1</f>
        <v>143</v>
      </c>
      <c r="EO3" s="145">
        <f t="shared" ref="EO3" si="110">EN3+1</f>
        <v>144</v>
      </c>
      <c r="EP3" s="145">
        <f t="shared" ref="EP3" si="111">EO3+1</f>
        <v>145</v>
      </c>
      <c r="EQ3" s="145">
        <f t="shared" ref="EQ3" si="112">EP3+1</f>
        <v>146</v>
      </c>
      <c r="ER3" s="145">
        <f t="shared" ref="ER3" si="113">EQ3+1</f>
        <v>147</v>
      </c>
      <c r="ES3" s="145">
        <f t="shared" ref="ES3" si="114">ER3+1</f>
        <v>148</v>
      </c>
      <c r="ET3" s="145">
        <f t="shared" ref="ET3" si="115">ES3+1</f>
        <v>149</v>
      </c>
      <c r="EU3" s="145">
        <f>ET3+1</f>
        <v>150</v>
      </c>
      <c r="EV3" s="145">
        <f t="shared" ref="EV3" si="116">EU3+1</f>
        <v>151</v>
      </c>
      <c r="EW3" s="145">
        <f t="shared" si="0"/>
        <v>152</v>
      </c>
      <c r="EX3" s="145">
        <f t="shared" si="0"/>
        <v>153</v>
      </c>
      <c r="EY3" s="145">
        <f t="shared" si="0"/>
        <v>154</v>
      </c>
      <c r="EZ3" s="145">
        <f t="shared" si="0"/>
        <v>155</v>
      </c>
      <c r="FA3" s="145">
        <f t="shared" si="0"/>
        <v>156</v>
      </c>
      <c r="FB3" s="145">
        <f t="shared" si="0"/>
        <v>157</v>
      </c>
      <c r="FC3" s="145">
        <f t="shared" ref="FC3" si="117">FB3+1</f>
        <v>158</v>
      </c>
      <c r="FD3" s="145">
        <f t="shared" ref="FD3" si="118">FC3+1</f>
        <v>159</v>
      </c>
      <c r="FE3" s="145">
        <f t="shared" ref="FE3" si="119">FD3+1</f>
        <v>160</v>
      </c>
      <c r="FF3" s="145">
        <f t="shared" ref="FF3" si="120">FE3+1</f>
        <v>161</v>
      </c>
      <c r="FG3" s="145">
        <f t="shared" ref="FG3" si="121">FF3+1</f>
        <v>162</v>
      </c>
      <c r="FH3" s="145">
        <f t="shared" ref="FH3" si="122">FG3+1</f>
        <v>163</v>
      </c>
      <c r="FI3" s="145">
        <f t="shared" ref="FI3" si="123">FH3+1</f>
        <v>164</v>
      </c>
      <c r="FJ3" s="145">
        <f t="shared" ref="FJ3" si="124">FI3+1</f>
        <v>165</v>
      </c>
      <c r="FK3" s="145">
        <f t="shared" ref="FK3" si="125">FJ3+1</f>
        <v>166</v>
      </c>
      <c r="FL3" s="145">
        <f t="shared" ref="FL3" si="126">FK3+1</f>
        <v>167</v>
      </c>
      <c r="FM3" s="145">
        <f t="shared" ref="FM3" si="127">FL3+1</f>
        <v>168</v>
      </c>
      <c r="FN3" s="145">
        <f t="shared" ref="FN3" si="128">FM3+1</f>
        <v>169</v>
      </c>
      <c r="FO3" s="145">
        <f t="shared" ref="FO3" si="129">FN3+1</f>
        <v>170</v>
      </c>
      <c r="FP3" s="145">
        <f t="shared" ref="FP3" si="130">FO3+1</f>
        <v>171</v>
      </c>
      <c r="FQ3" s="145">
        <f t="shared" ref="FQ3" si="131">FP3+1</f>
        <v>172</v>
      </c>
      <c r="FR3" s="145">
        <f t="shared" ref="FR3" si="132">FQ3+1</f>
        <v>173</v>
      </c>
      <c r="FS3" s="145">
        <f t="shared" ref="FS3" si="133">FR3+1</f>
        <v>174</v>
      </c>
      <c r="FT3" s="145">
        <f t="shared" ref="FT3" si="134">FS3+1</f>
        <v>175</v>
      </c>
      <c r="FU3" s="145">
        <f t="shared" ref="FU3" si="135">FT3+1</f>
        <v>176</v>
      </c>
      <c r="FV3" s="145">
        <f t="shared" ref="FV3" si="136">FU3+1</f>
        <v>177</v>
      </c>
      <c r="FW3" s="145">
        <f t="shared" ref="FW3" si="137">FV3+1</f>
        <v>178</v>
      </c>
      <c r="FX3" s="145">
        <f t="shared" ref="FX3" si="138">FW3+1</f>
        <v>179</v>
      </c>
      <c r="FY3" s="145">
        <f t="shared" ref="FY3" si="139">FX3+1</f>
        <v>180</v>
      </c>
      <c r="FZ3" s="145">
        <f t="shared" ref="FZ3" si="140">FY3+1</f>
        <v>181</v>
      </c>
      <c r="GA3" s="145">
        <f>FZ3+1</f>
        <v>182</v>
      </c>
      <c r="GB3" s="145">
        <f t="shared" si="0"/>
        <v>183</v>
      </c>
      <c r="GC3" s="145">
        <f t="shared" si="0"/>
        <v>184</v>
      </c>
      <c r="GD3" s="145">
        <f t="shared" si="0"/>
        <v>185</v>
      </c>
      <c r="GE3" s="145">
        <f t="shared" si="0"/>
        <v>186</v>
      </c>
      <c r="GF3" s="145">
        <f t="shared" si="0"/>
        <v>187</v>
      </c>
      <c r="GG3" s="145">
        <f t="shared" si="0"/>
        <v>188</v>
      </c>
      <c r="GH3" s="145">
        <f t="shared" si="0"/>
        <v>189</v>
      </c>
      <c r="GI3" s="145">
        <f t="shared" ref="GI3" si="141">GH3+1</f>
        <v>190</v>
      </c>
      <c r="GJ3" s="145">
        <f t="shared" ref="GJ3" si="142">GI3+1</f>
        <v>191</v>
      </c>
      <c r="GK3" s="145">
        <f t="shared" ref="GK3" si="143">GJ3+1</f>
        <v>192</v>
      </c>
      <c r="GL3" s="145">
        <f t="shared" ref="GL3" si="144">GK3+1</f>
        <v>193</v>
      </c>
      <c r="GM3" s="145">
        <f t="shared" ref="GM3" si="145">GL3+1</f>
        <v>194</v>
      </c>
      <c r="GN3" s="145">
        <f t="shared" ref="GN3" si="146">GM3+1</f>
        <v>195</v>
      </c>
      <c r="GO3" s="145">
        <f t="shared" ref="GO3" si="147">GN3+1</f>
        <v>196</v>
      </c>
      <c r="GP3" s="145">
        <f t="shared" ref="GP3" si="148">GO3+1</f>
        <v>197</v>
      </c>
      <c r="GQ3" s="145">
        <f t="shared" ref="GQ3" si="149">GP3+1</f>
        <v>198</v>
      </c>
      <c r="GR3" s="145">
        <f t="shared" ref="GR3" si="150">GQ3+1</f>
        <v>199</v>
      </c>
      <c r="GS3" s="145">
        <f t="shared" ref="GS3" si="151">GR3+1</f>
        <v>200</v>
      </c>
      <c r="GT3" s="145">
        <f t="shared" ref="GT3" si="152">GS3+1</f>
        <v>201</v>
      </c>
      <c r="GU3" s="145">
        <f t="shared" ref="GU3" si="153">GT3+1</f>
        <v>202</v>
      </c>
      <c r="GV3" s="145">
        <f t="shared" ref="GV3" si="154">GU3+1</f>
        <v>203</v>
      </c>
      <c r="GW3" s="145">
        <f t="shared" ref="GW3" si="155">GV3+1</f>
        <v>204</v>
      </c>
      <c r="GX3" s="145">
        <f t="shared" ref="GX3" si="156">GW3+1</f>
        <v>205</v>
      </c>
      <c r="GY3" s="145">
        <f t="shared" ref="GY3" si="157">GX3+1</f>
        <v>206</v>
      </c>
      <c r="GZ3" s="145">
        <f t="shared" ref="GZ3" si="158">GY3+1</f>
        <v>207</v>
      </c>
      <c r="HA3" s="145">
        <f t="shared" ref="HA3" si="159">GZ3+1</f>
        <v>208</v>
      </c>
      <c r="HB3" s="145">
        <f t="shared" ref="HB3" si="160">HA3+1</f>
        <v>209</v>
      </c>
      <c r="HC3" s="145">
        <f t="shared" ref="HC3" si="161">HB3+1</f>
        <v>210</v>
      </c>
      <c r="HD3" s="145">
        <f t="shared" ref="HD3" si="162">HC3+1</f>
        <v>211</v>
      </c>
      <c r="HE3" s="145">
        <f t="shared" ref="HE3" si="163">HD3+1</f>
        <v>212</v>
      </c>
      <c r="HF3" s="145">
        <f t="shared" ref="HF3" si="164">HE3+1</f>
        <v>213</v>
      </c>
    </row>
    <row r="4" spans="1:251" x14ac:dyDescent="0.2">
      <c r="B4" s="146" t="s">
        <v>182</v>
      </c>
      <c r="C4" s="679" t="s">
        <v>177</v>
      </c>
      <c r="D4" s="679"/>
      <c r="E4" s="679"/>
      <c r="F4" s="679"/>
      <c r="G4" s="374"/>
      <c r="H4" s="374" t="s">
        <v>302</v>
      </c>
      <c r="I4" s="147" t="s">
        <v>638</v>
      </c>
      <c r="J4" s="147" t="s">
        <v>639</v>
      </c>
      <c r="K4" s="145" t="s">
        <v>641</v>
      </c>
      <c r="L4" s="145" t="s">
        <v>642</v>
      </c>
      <c r="M4" s="145" t="s">
        <v>245</v>
      </c>
      <c r="S4" s="145" t="s">
        <v>290</v>
      </c>
      <c r="T4" s="145">
        <f>IF('Расчет стоимости'!$G$12="приравн.",1.01,IF('Расчет стоимости'!$G$12="Крайний",1.02,1))</f>
        <v>1.01</v>
      </c>
      <c r="U4" s="145">
        <f>IF('Расчет стоимости'!$G$12="приравн.",1.01,IF('Расчет стоимости'!$G$12="Крайний",1.02,1))</f>
        <v>1.01</v>
      </c>
      <c r="V4" s="145">
        <f>IF('Расчет стоимости'!$G$12="приравн.",1.01,IF('Расчет стоимости'!$G$12="Крайний",1.02,1))</f>
        <v>1.01</v>
      </c>
      <c r="W4" s="145">
        <f>IF('Расчет стоимости'!$G$12="приравн.",1.01,IF('Расчет стоимости'!$G$12="Крайний",1.02,1))</f>
        <v>1.01</v>
      </c>
      <c r="X4" s="145" t="str">
        <f>IF('Расчет стоимости'!$P$11="","IV кв. 2012 г.",'Расчет стоимости'!$P$11)</f>
        <v>IV кв. 2017 г.</v>
      </c>
      <c r="Z4" s="145" t="s">
        <v>261</v>
      </c>
      <c r="BD4" s="145" t="str">
        <f>$X$4</f>
        <v>IV кв. 2017 г.</v>
      </c>
      <c r="BE4" s="145" t="s">
        <v>300</v>
      </c>
      <c r="CJ4" s="145" t="str">
        <f>$X$4</f>
        <v>IV кв. 2017 г.</v>
      </c>
      <c r="CK4" s="145" t="s">
        <v>648</v>
      </c>
      <c r="DP4" s="145" t="str">
        <f>$X$4</f>
        <v>IV кв. 2017 г.</v>
      </c>
      <c r="DQ4" s="145" t="s">
        <v>649</v>
      </c>
      <c r="EV4" s="145" t="str">
        <f>$X$4</f>
        <v>IV кв. 2017 г.</v>
      </c>
      <c r="EW4" s="145" t="s">
        <v>301</v>
      </c>
      <c r="GB4" s="145" t="str">
        <f>$X$4</f>
        <v>IV кв. 2017 г.</v>
      </c>
      <c r="GC4" s="145" t="s">
        <v>482</v>
      </c>
      <c r="HH4" s="145" t="s">
        <v>1314</v>
      </c>
      <c r="HN4" s="145" t="s">
        <v>305</v>
      </c>
    </row>
    <row r="5" spans="1:251" x14ac:dyDescent="0.2">
      <c r="A5" s="373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2" t="str">
        <f>IF('Расчет стоимости'!$G$11=0,"I",'Расчет стоимости'!$G$11)</f>
        <v>I</v>
      </c>
      <c r="J5" s="372" t="str">
        <f>IF('Расчет стоимости'!$G$11=0,"I",'Расчет стоимости'!$G$11)</f>
        <v>I</v>
      </c>
      <c r="K5" s="372" t="str">
        <f>IF('Расчет стоимости'!$G$11=0,"I",'Расчет стоимости'!$G$11)</f>
        <v>I</v>
      </c>
      <c r="L5" s="372" t="str">
        <f>IF('Расчет стоимости'!$G$11=0,"I",'Расчет стоимости'!$G$11)</f>
        <v>I</v>
      </c>
      <c r="M5" s="145" t="s">
        <v>187</v>
      </c>
      <c r="N5" s="145" t="s">
        <v>232</v>
      </c>
      <c r="O5" s="145" t="s">
        <v>233</v>
      </c>
      <c r="P5" s="145" t="s">
        <v>230</v>
      </c>
      <c r="Q5" s="145" t="s">
        <v>192</v>
      </c>
      <c r="R5" s="145" t="s">
        <v>231</v>
      </c>
      <c r="S5" s="145" t="s">
        <v>291</v>
      </c>
      <c r="T5" s="372" t="str">
        <f>IF('Расчет стоимости'!$G$11=0,"I",'Расчет стоимости'!$G$11)</f>
        <v>I</v>
      </c>
      <c r="U5" s="372" t="str">
        <f>IF('Расчет стоимости'!$G$11=0,"I",'Расчет стоимости'!$G$11)</f>
        <v>I</v>
      </c>
      <c r="V5" s="372" t="str">
        <f>IF('Расчет стоимости'!$G$11=0,"I",'Расчет стоимости'!$G$11)</f>
        <v>I</v>
      </c>
      <c r="W5" s="372" t="str">
        <f>IF('Расчет стоимости'!$G$11=0,"I",'Расчет стоимости'!$G$11)</f>
        <v>I</v>
      </c>
      <c r="X5" s="145" t="s">
        <v>289</v>
      </c>
      <c r="Y5" s="148" t="s">
        <v>82</v>
      </c>
      <c r="Z5" s="148" t="s">
        <v>86</v>
      </c>
      <c r="AA5" s="148" t="s">
        <v>87</v>
      </c>
      <c r="AB5" s="148" t="s">
        <v>88</v>
      </c>
      <c r="AC5" s="148" t="s">
        <v>89</v>
      </c>
      <c r="AD5" s="148" t="s">
        <v>90</v>
      </c>
      <c r="AE5" s="148" t="s">
        <v>91</v>
      </c>
      <c r="AF5" s="148" t="s">
        <v>92</v>
      </c>
      <c r="AG5" s="148" t="s">
        <v>93</v>
      </c>
      <c r="AH5" s="148" t="s">
        <v>94</v>
      </c>
      <c r="AI5" s="148" t="s">
        <v>95</v>
      </c>
      <c r="AJ5" s="148" t="s">
        <v>96</v>
      </c>
      <c r="AK5" s="148" t="s">
        <v>97</v>
      </c>
      <c r="AL5" s="148" t="s">
        <v>98</v>
      </c>
      <c r="AM5" s="148" t="s">
        <v>99</v>
      </c>
      <c r="AN5" s="148" t="s">
        <v>100</v>
      </c>
      <c r="AO5" s="148" t="s">
        <v>101</v>
      </c>
      <c r="AP5" s="148" t="s">
        <v>102</v>
      </c>
      <c r="AQ5" s="148" t="s">
        <v>103</v>
      </c>
      <c r="AR5" s="148" t="s">
        <v>104</v>
      </c>
      <c r="AS5" s="148" t="s">
        <v>105</v>
      </c>
      <c r="AT5" s="148" t="s">
        <v>106</v>
      </c>
      <c r="AU5" s="148" t="s">
        <v>107</v>
      </c>
      <c r="AV5" s="148" t="s">
        <v>108</v>
      </c>
      <c r="AW5" s="148" t="s">
        <v>109</v>
      </c>
      <c r="AX5" s="148" t="s">
        <v>110</v>
      </c>
      <c r="AY5" s="148" t="s">
        <v>111</v>
      </c>
      <c r="AZ5" s="148" t="s">
        <v>112</v>
      </c>
      <c r="BA5" s="148" t="s">
        <v>113</v>
      </c>
      <c r="BB5" s="148" t="s">
        <v>114</v>
      </c>
      <c r="BD5" s="145" t="s">
        <v>289</v>
      </c>
      <c r="BE5" s="148" t="s">
        <v>82</v>
      </c>
      <c r="BF5" s="148" t="s">
        <v>86</v>
      </c>
      <c r="BG5" s="148" t="s">
        <v>87</v>
      </c>
      <c r="BH5" s="148" t="s">
        <v>88</v>
      </c>
      <c r="BI5" s="148" t="s">
        <v>89</v>
      </c>
      <c r="BJ5" s="148" t="s">
        <v>90</v>
      </c>
      <c r="BK5" s="148" t="s">
        <v>91</v>
      </c>
      <c r="BL5" s="148" t="s">
        <v>92</v>
      </c>
      <c r="BM5" s="148" t="s">
        <v>93</v>
      </c>
      <c r="BN5" s="148" t="s">
        <v>94</v>
      </c>
      <c r="BO5" s="148" t="s">
        <v>95</v>
      </c>
      <c r="BP5" s="148" t="s">
        <v>96</v>
      </c>
      <c r="BQ5" s="148" t="s">
        <v>97</v>
      </c>
      <c r="BR5" s="148" t="s">
        <v>98</v>
      </c>
      <c r="BS5" s="148" t="s">
        <v>99</v>
      </c>
      <c r="BT5" s="148" t="s">
        <v>100</v>
      </c>
      <c r="BU5" s="148" t="s">
        <v>101</v>
      </c>
      <c r="BV5" s="148" t="s">
        <v>102</v>
      </c>
      <c r="BW5" s="148" t="s">
        <v>103</v>
      </c>
      <c r="BX5" s="148" t="s">
        <v>104</v>
      </c>
      <c r="BY5" s="148" t="s">
        <v>105</v>
      </c>
      <c r="BZ5" s="148" t="s">
        <v>106</v>
      </c>
      <c r="CA5" s="148" t="s">
        <v>107</v>
      </c>
      <c r="CB5" s="148" t="s">
        <v>108</v>
      </c>
      <c r="CC5" s="148" t="s">
        <v>109</v>
      </c>
      <c r="CD5" s="148" t="s">
        <v>110</v>
      </c>
      <c r="CE5" s="148" t="s">
        <v>111</v>
      </c>
      <c r="CF5" s="148" t="s">
        <v>112</v>
      </c>
      <c r="CG5" s="148" t="s">
        <v>113</v>
      </c>
      <c r="CH5" s="148" t="s">
        <v>114</v>
      </c>
      <c r="CI5" s="148"/>
      <c r="CJ5" s="145" t="s">
        <v>289</v>
      </c>
      <c r="CK5" s="148" t="s">
        <v>82</v>
      </c>
      <c r="CL5" s="148" t="s">
        <v>86</v>
      </c>
      <c r="CM5" s="148" t="s">
        <v>87</v>
      </c>
      <c r="CN5" s="148" t="s">
        <v>88</v>
      </c>
      <c r="CO5" s="148" t="s">
        <v>89</v>
      </c>
      <c r="CP5" s="148" t="s">
        <v>90</v>
      </c>
      <c r="CQ5" s="148" t="s">
        <v>91</v>
      </c>
      <c r="CR5" s="148" t="s">
        <v>92</v>
      </c>
      <c r="CS5" s="148" t="s">
        <v>93</v>
      </c>
      <c r="CT5" s="148" t="s">
        <v>94</v>
      </c>
      <c r="CU5" s="148" t="s">
        <v>95</v>
      </c>
      <c r="CV5" s="148" t="s">
        <v>96</v>
      </c>
      <c r="CW5" s="148" t="s">
        <v>97</v>
      </c>
      <c r="CX5" s="148" t="s">
        <v>98</v>
      </c>
      <c r="CY5" s="148" t="s">
        <v>99</v>
      </c>
      <c r="CZ5" s="148" t="s">
        <v>100</v>
      </c>
      <c r="DA5" s="148" t="s">
        <v>101</v>
      </c>
      <c r="DB5" s="148" t="s">
        <v>102</v>
      </c>
      <c r="DC5" s="148" t="s">
        <v>103</v>
      </c>
      <c r="DD5" s="148" t="s">
        <v>104</v>
      </c>
      <c r="DE5" s="148" t="s">
        <v>105</v>
      </c>
      <c r="DF5" s="148" t="s">
        <v>106</v>
      </c>
      <c r="DG5" s="148" t="s">
        <v>107</v>
      </c>
      <c r="DH5" s="148" t="s">
        <v>108</v>
      </c>
      <c r="DI5" s="148" t="s">
        <v>109</v>
      </c>
      <c r="DJ5" s="148" t="s">
        <v>110</v>
      </c>
      <c r="DK5" s="148" t="s">
        <v>111</v>
      </c>
      <c r="DL5" s="148" t="s">
        <v>112</v>
      </c>
      <c r="DM5" s="148" t="s">
        <v>113</v>
      </c>
      <c r="DN5" s="148" t="s">
        <v>114</v>
      </c>
      <c r="DO5" s="148"/>
      <c r="DP5" s="145" t="s">
        <v>289</v>
      </c>
      <c r="DQ5" s="148" t="s">
        <v>82</v>
      </c>
      <c r="DR5" s="148" t="s">
        <v>86</v>
      </c>
      <c r="DS5" s="148" t="s">
        <v>87</v>
      </c>
      <c r="DT5" s="148" t="s">
        <v>88</v>
      </c>
      <c r="DU5" s="148" t="s">
        <v>89</v>
      </c>
      <c r="DV5" s="148" t="s">
        <v>90</v>
      </c>
      <c r="DW5" s="148" t="s">
        <v>91</v>
      </c>
      <c r="DX5" s="148" t="s">
        <v>92</v>
      </c>
      <c r="DY5" s="148" t="s">
        <v>93</v>
      </c>
      <c r="DZ5" s="148" t="s">
        <v>94</v>
      </c>
      <c r="EA5" s="148" t="s">
        <v>95</v>
      </c>
      <c r="EB5" s="148" t="s">
        <v>96</v>
      </c>
      <c r="EC5" s="148" t="s">
        <v>97</v>
      </c>
      <c r="ED5" s="148" t="s">
        <v>98</v>
      </c>
      <c r="EE5" s="148" t="s">
        <v>99</v>
      </c>
      <c r="EF5" s="148" t="s">
        <v>100</v>
      </c>
      <c r="EG5" s="148" t="s">
        <v>101</v>
      </c>
      <c r="EH5" s="148" t="s">
        <v>102</v>
      </c>
      <c r="EI5" s="148" t="s">
        <v>103</v>
      </c>
      <c r="EJ5" s="148" t="s">
        <v>104</v>
      </c>
      <c r="EK5" s="148" t="s">
        <v>105</v>
      </c>
      <c r="EL5" s="148" t="s">
        <v>106</v>
      </c>
      <c r="EM5" s="148" t="s">
        <v>107</v>
      </c>
      <c r="EN5" s="148" t="s">
        <v>108</v>
      </c>
      <c r="EO5" s="148" t="s">
        <v>109</v>
      </c>
      <c r="EP5" s="148" t="s">
        <v>110</v>
      </c>
      <c r="EQ5" s="148" t="s">
        <v>111</v>
      </c>
      <c r="ER5" s="148" t="s">
        <v>112</v>
      </c>
      <c r="ES5" s="148" t="s">
        <v>113</v>
      </c>
      <c r="ET5" s="148" t="s">
        <v>114</v>
      </c>
      <c r="EU5" s="148"/>
      <c r="EV5" s="145" t="s">
        <v>289</v>
      </c>
      <c r="EW5" s="148" t="s">
        <v>82</v>
      </c>
      <c r="EX5" s="148" t="s">
        <v>86</v>
      </c>
      <c r="EY5" s="148" t="s">
        <v>87</v>
      </c>
      <c r="EZ5" s="148" t="s">
        <v>88</v>
      </c>
      <c r="FA5" s="148" t="s">
        <v>89</v>
      </c>
      <c r="FB5" s="148" t="s">
        <v>90</v>
      </c>
      <c r="FC5" s="148" t="s">
        <v>91</v>
      </c>
      <c r="FD5" s="148" t="s">
        <v>92</v>
      </c>
      <c r="FE5" s="148" t="s">
        <v>93</v>
      </c>
      <c r="FF5" s="148" t="s">
        <v>94</v>
      </c>
      <c r="FG5" s="148" t="s">
        <v>95</v>
      </c>
      <c r="FH5" s="148" t="s">
        <v>96</v>
      </c>
      <c r="FI5" s="148" t="s">
        <v>97</v>
      </c>
      <c r="FJ5" s="148" t="s">
        <v>98</v>
      </c>
      <c r="FK5" s="148" t="s">
        <v>99</v>
      </c>
      <c r="FL5" s="148" t="s">
        <v>100</v>
      </c>
      <c r="FM5" s="148" t="s">
        <v>101</v>
      </c>
      <c r="FN5" s="148" t="s">
        <v>102</v>
      </c>
      <c r="FO5" s="148" t="s">
        <v>103</v>
      </c>
      <c r="FP5" s="148" t="s">
        <v>104</v>
      </c>
      <c r="FQ5" s="148" t="s">
        <v>105</v>
      </c>
      <c r="FR5" s="148" t="s">
        <v>106</v>
      </c>
      <c r="FS5" s="148" t="s">
        <v>107</v>
      </c>
      <c r="FT5" s="148" t="s">
        <v>108</v>
      </c>
      <c r="FU5" s="148" t="s">
        <v>109</v>
      </c>
      <c r="FV5" s="148" t="s">
        <v>110</v>
      </c>
      <c r="FW5" s="148" t="s">
        <v>111</v>
      </c>
      <c r="FX5" s="148" t="s">
        <v>112</v>
      </c>
      <c r="FY5" s="148" t="s">
        <v>113</v>
      </c>
      <c r="FZ5" s="148" t="s">
        <v>114</v>
      </c>
      <c r="GB5" s="145" t="s">
        <v>289</v>
      </c>
      <c r="GC5" s="148" t="s">
        <v>82</v>
      </c>
      <c r="GD5" s="148" t="s">
        <v>86</v>
      </c>
      <c r="GE5" s="148" t="s">
        <v>87</v>
      </c>
      <c r="GF5" s="148" t="s">
        <v>88</v>
      </c>
      <c r="GG5" s="148" t="s">
        <v>89</v>
      </c>
      <c r="GH5" s="148" t="s">
        <v>90</v>
      </c>
      <c r="GI5" s="148" t="s">
        <v>91</v>
      </c>
      <c r="GJ5" s="148" t="s">
        <v>92</v>
      </c>
      <c r="GK5" s="148" t="s">
        <v>93</v>
      </c>
      <c r="GL5" s="148" t="s">
        <v>94</v>
      </c>
      <c r="GM5" s="148" t="s">
        <v>95</v>
      </c>
      <c r="GN5" s="148" t="s">
        <v>96</v>
      </c>
      <c r="GO5" s="148" t="s">
        <v>97</v>
      </c>
      <c r="GP5" s="148" t="s">
        <v>98</v>
      </c>
      <c r="GQ5" s="148" t="s">
        <v>99</v>
      </c>
      <c r="GR5" s="148" t="s">
        <v>100</v>
      </c>
      <c r="GS5" s="148" t="s">
        <v>101</v>
      </c>
      <c r="GT5" s="148" t="s">
        <v>102</v>
      </c>
      <c r="GU5" s="148" t="s">
        <v>103</v>
      </c>
      <c r="GV5" s="148" t="s">
        <v>104</v>
      </c>
      <c r="GW5" s="148" t="s">
        <v>105</v>
      </c>
      <c r="GX5" s="148" t="s">
        <v>106</v>
      </c>
      <c r="GY5" s="148" t="s">
        <v>107</v>
      </c>
      <c r="GZ5" s="148" t="s">
        <v>108</v>
      </c>
      <c r="HA5" s="148" t="s">
        <v>109</v>
      </c>
      <c r="HB5" s="148" t="s">
        <v>110</v>
      </c>
      <c r="HC5" s="148" t="s">
        <v>111</v>
      </c>
      <c r="HD5" s="148" t="s">
        <v>112</v>
      </c>
      <c r="HE5" s="148" t="s">
        <v>113</v>
      </c>
      <c r="HF5" s="148" t="s">
        <v>114</v>
      </c>
      <c r="HH5" s="145" t="s">
        <v>246</v>
      </c>
      <c r="HI5" s="373">
        <v>1</v>
      </c>
      <c r="HJ5" s="228">
        <v>2</v>
      </c>
      <c r="HK5" s="228">
        <v>3</v>
      </c>
      <c r="HL5" s="373" t="s">
        <v>1315</v>
      </c>
      <c r="HM5" s="145" t="s">
        <v>1318</v>
      </c>
      <c r="HN5" s="145" t="s">
        <v>239</v>
      </c>
      <c r="HO5" s="145" t="s">
        <v>241</v>
      </c>
      <c r="HP5" s="145" t="s">
        <v>234</v>
      </c>
      <c r="HQ5" s="145" t="s">
        <v>236</v>
      </c>
      <c r="HR5" s="145" t="s">
        <v>242</v>
      </c>
      <c r="HS5" s="145" t="s">
        <v>243</v>
      </c>
      <c r="HT5" s="145" t="s">
        <v>244</v>
      </c>
      <c r="HU5" s="145" t="s">
        <v>267</v>
      </c>
      <c r="HV5" s="145" t="s">
        <v>268</v>
      </c>
      <c r="HW5" s="145" t="s">
        <v>186</v>
      </c>
      <c r="HX5" s="145" t="s">
        <v>269</v>
      </c>
      <c r="HY5" s="145" t="s">
        <v>270</v>
      </c>
      <c r="HZ5" s="145" t="s">
        <v>271</v>
      </c>
      <c r="IA5" s="145" t="s">
        <v>272</v>
      </c>
      <c r="IB5" s="145" t="s">
        <v>273</v>
      </c>
      <c r="IC5" s="145" t="s">
        <v>274</v>
      </c>
      <c r="ID5" s="145" t="s">
        <v>275</v>
      </c>
      <c r="IE5" s="145" t="s">
        <v>276</v>
      </c>
      <c r="IF5" s="145" t="s">
        <v>277</v>
      </c>
      <c r="IG5" s="145" t="s">
        <v>278</v>
      </c>
      <c r="IH5" s="145" t="s">
        <v>279</v>
      </c>
      <c r="II5" s="145" t="s">
        <v>280</v>
      </c>
      <c r="IJ5" s="145" t="s">
        <v>281</v>
      </c>
      <c r="IK5" s="145" t="s">
        <v>282</v>
      </c>
      <c r="IL5" s="145" t="s">
        <v>283</v>
      </c>
      <c r="IM5" s="145" t="s">
        <v>284</v>
      </c>
      <c r="IN5" s="145" t="s">
        <v>285</v>
      </c>
      <c r="IO5" s="145" t="s">
        <v>286</v>
      </c>
      <c r="IP5" s="145" t="s">
        <v>288</v>
      </c>
      <c r="IQ5" s="145" t="s">
        <v>287</v>
      </c>
    </row>
    <row r="6" spans="1:251" ht="12.75" hidden="1" customHeight="1" x14ac:dyDescent="0.2">
      <c r="A6" s="373">
        <f>A5+1</f>
        <v>2</v>
      </c>
      <c r="B6" s="149" t="s">
        <v>139</v>
      </c>
      <c r="C6" s="150">
        <v>0.95399999999999996</v>
      </c>
      <c r="D6" s="150">
        <v>0.94</v>
      </c>
      <c r="E6" s="150">
        <v>0.93799999999999994</v>
      </c>
      <c r="F6" s="150">
        <v>1.18</v>
      </c>
      <c r="G6" s="150"/>
      <c r="H6" s="226">
        <f ca="1">OFFSET($HH6,0,'Расчет стоимости'!$M$10,1,1)</f>
        <v>1</v>
      </c>
      <c r="I6" s="150">
        <v>1</v>
      </c>
      <c r="J6" s="150">
        <v>1</v>
      </c>
      <c r="K6" s="149">
        <v>1</v>
      </c>
      <c r="L6" s="149">
        <v>1</v>
      </c>
      <c r="M6" s="372">
        <v>2.1000000000000001E-2</v>
      </c>
      <c r="N6" s="145">
        <v>1.9E-2</v>
      </c>
      <c r="O6" s="145">
        <v>0.01</v>
      </c>
      <c r="P6" s="145">
        <v>3.2000000000000001E-2</v>
      </c>
      <c r="Q6" s="145">
        <v>0</v>
      </c>
      <c r="R6" s="152" t="s">
        <v>234</v>
      </c>
      <c r="S6" s="152"/>
      <c r="T6" s="225">
        <f t="shared" ref="T6:W25" si="165">IF(IFERROR(HLOOKUP(T$5,$HN$5:$IQ$91,$A6,FALSE),0)=0,1,HLOOKUP(T$5,$HN$5:$IQ$91,$A6,FALSE))</f>
        <v>1</v>
      </c>
      <c r="U6" s="225">
        <f t="shared" si="165"/>
        <v>1</v>
      </c>
      <c r="V6" s="225">
        <f t="shared" si="165"/>
        <v>1</v>
      </c>
      <c r="W6" s="225">
        <f t="shared" si="165"/>
        <v>1</v>
      </c>
      <c r="X6" s="145">
        <f t="shared" ref="X6:X37" si="166">HLOOKUP($X$4,Y$5:BB$91,$A6,FALSE)</f>
        <v>1</v>
      </c>
      <c r="Y6" s="145">
        <v>5.41</v>
      </c>
      <c r="Z6" s="145">
        <v>5.51</v>
      </c>
      <c r="AA6" s="145">
        <v>5.51</v>
      </c>
      <c r="AB6" s="145">
        <v>5.53</v>
      </c>
      <c r="AC6" s="145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5">
        <f t="shared" ref="BD6:BD37" si="167">HLOOKUP($BD$4,BE$5:CH$91,$A6,FALSE)</f>
        <v>1</v>
      </c>
      <c r="BE6" s="145">
        <v>4.0999999999999996</v>
      </c>
      <c r="BF6" s="145">
        <v>4.13</v>
      </c>
      <c r="BG6" s="145">
        <v>4.13</v>
      </c>
      <c r="BH6" s="145">
        <v>4.1500000000000004</v>
      </c>
      <c r="BI6" s="145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5">
        <f t="shared" ref="CJ6:CJ37" si="168">HLOOKUP($CJ$4,CK$5:DN$91,$A6,FALSE)</f>
        <v>1</v>
      </c>
      <c r="CK6" s="145">
        <v>3.82</v>
      </c>
      <c r="CL6" s="145">
        <v>3.84</v>
      </c>
      <c r="CM6" s="145">
        <v>3.84</v>
      </c>
      <c r="CN6" s="145">
        <v>3.86</v>
      </c>
      <c r="CO6" s="145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5">
        <f t="shared" ref="DP6:DP37" si="169">HLOOKUP($DP$4,DQ$5:ET$91,$A6,FALSE)</f>
        <v>1</v>
      </c>
      <c r="DQ6" s="145">
        <v>4.1500000000000004</v>
      </c>
      <c r="DR6" s="145">
        <v>4.22</v>
      </c>
      <c r="DS6" s="145">
        <v>4.22</v>
      </c>
      <c r="DT6" s="145">
        <v>4.24</v>
      </c>
      <c r="DU6" s="145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5">
        <f t="shared" ref="EV6:EV37" si="170">HLOOKUP($EV$4,EW$5:FZ$91,$A6,FALSE)</f>
        <v>1</v>
      </c>
      <c r="EW6" s="145">
        <v>3.99</v>
      </c>
      <c r="EX6" s="145">
        <v>4.03</v>
      </c>
      <c r="EY6" s="145">
        <v>4.03</v>
      </c>
      <c r="EZ6" s="145">
        <v>4.05</v>
      </c>
      <c r="FA6" s="145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5">
        <f t="shared" ref="GB6:GB37" si="171">HLOOKUP($GB$4,GC$5:HF$91,$A6,FALSE)</f>
        <v>1</v>
      </c>
      <c r="GC6" s="145">
        <v>9.91</v>
      </c>
      <c r="GD6" s="145">
        <v>10.11</v>
      </c>
      <c r="GE6" s="145">
        <v>10.11</v>
      </c>
      <c r="GF6" s="145">
        <v>10.15</v>
      </c>
      <c r="GG6" s="145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3">
        <v>1</v>
      </c>
      <c r="HI6" s="218">
        <v>1</v>
      </c>
      <c r="HJ6" s="229">
        <v>1</v>
      </c>
      <c r="HK6" s="229">
        <v>1</v>
      </c>
      <c r="HL6" s="373">
        <v>1</v>
      </c>
      <c r="HM6" s="373">
        <f>COUNTIF($HN6:$IQ6,"&gt;0")</f>
        <v>1</v>
      </c>
      <c r="HN6" s="145">
        <v>1</v>
      </c>
    </row>
    <row r="7" spans="1:251" ht="12.75" hidden="1" customHeight="1" x14ac:dyDescent="0.2">
      <c r="A7" s="373">
        <f t="shared" ref="A7:A66" si="172">A6+1</f>
        <v>3</v>
      </c>
      <c r="B7" s="149" t="s">
        <v>126</v>
      </c>
      <c r="C7" s="150">
        <v>0.83499999999999996</v>
      </c>
      <c r="D7" s="150">
        <v>0.86599999999999999</v>
      </c>
      <c r="E7" s="150">
        <v>0.72599999999999998</v>
      </c>
      <c r="F7" s="150">
        <v>0.85199999999999998</v>
      </c>
      <c r="G7" s="150"/>
      <c r="H7" s="226">
        <f ca="1">OFFSET($HH7,0,'Расчет стоимости'!$M$10,1,1)</f>
        <v>1</v>
      </c>
      <c r="I7" s="150">
        <v>1</v>
      </c>
      <c r="J7" s="150">
        <v>1</v>
      </c>
      <c r="K7" s="149">
        <v>1</v>
      </c>
      <c r="L7" s="149">
        <v>1</v>
      </c>
      <c r="M7" s="372">
        <v>2.1000000000000001E-2</v>
      </c>
      <c r="N7" s="145">
        <v>1.9E-2</v>
      </c>
      <c r="O7" s="145">
        <v>0.01</v>
      </c>
      <c r="P7" s="145">
        <v>3.2000000000000001E-2</v>
      </c>
      <c r="Q7" s="145">
        <v>0</v>
      </c>
      <c r="R7" s="152" t="s">
        <v>234</v>
      </c>
      <c r="S7" s="152"/>
      <c r="T7" s="225">
        <f t="shared" si="165"/>
        <v>1</v>
      </c>
      <c r="U7" s="225">
        <f t="shared" si="165"/>
        <v>1</v>
      </c>
      <c r="V7" s="225">
        <f t="shared" si="165"/>
        <v>1</v>
      </c>
      <c r="W7" s="225">
        <f t="shared" si="165"/>
        <v>1</v>
      </c>
      <c r="X7" s="145">
        <f t="shared" si="166"/>
        <v>1</v>
      </c>
      <c r="Y7" s="145">
        <v>5.61</v>
      </c>
      <c r="Z7" s="145">
        <v>5.73</v>
      </c>
      <c r="AA7" s="145">
        <v>5.73</v>
      </c>
      <c r="AB7" s="145">
        <v>5.75</v>
      </c>
      <c r="AC7" s="145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5">
        <f t="shared" si="167"/>
        <v>1</v>
      </c>
      <c r="BE7" s="145">
        <v>3.53</v>
      </c>
      <c r="BF7" s="145">
        <v>3.6</v>
      </c>
      <c r="BG7" s="145">
        <v>3.6</v>
      </c>
      <c r="BH7" s="145">
        <v>3.61</v>
      </c>
      <c r="BI7" s="145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5">
        <f t="shared" si="168"/>
        <v>1</v>
      </c>
      <c r="CK7" s="145">
        <v>3.79</v>
      </c>
      <c r="CL7" s="145">
        <v>3.85</v>
      </c>
      <c r="CM7" s="145">
        <v>3.85</v>
      </c>
      <c r="CN7" s="145">
        <v>3.87</v>
      </c>
      <c r="CO7" s="145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5">
        <f t="shared" si="169"/>
        <v>1</v>
      </c>
      <c r="DQ7" s="145">
        <v>4.28</v>
      </c>
      <c r="DR7" s="145">
        <v>4.3600000000000003</v>
      </c>
      <c r="DS7" s="145">
        <v>4.3600000000000003</v>
      </c>
      <c r="DT7" s="145">
        <v>4.38</v>
      </c>
      <c r="DU7" s="145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5">
        <f t="shared" si="170"/>
        <v>1</v>
      </c>
      <c r="EW7" s="145">
        <v>4.09</v>
      </c>
      <c r="EX7" s="145">
        <v>4.1399999999999997</v>
      </c>
      <c r="EY7" s="145">
        <v>4.1399999999999997</v>
      </c>
      <c r="EZ7" s="145">
        <v>4.16</v>
      </c>
      <c r="FA7" s="145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5">
        <f t="shared" si="171"/>
        <v>1</v>
      </c>
      <c r="GC7" s="145">
        <v>9.7100000000000009</v>
      </c>
      <c r="GD7" s="145">
        <v>9.91</v>
      </c>
      <c r="GE7" s="145">
        <v>9.91</v>
      </c>
      <c r="GF7" s="145">
        <v>9.9499999999999993</v>
      </c>
      <c r="GG7" s="145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3">
        <v>1</v>
      </c>
      <c r="HI7" s="218">
        <v>1</v>
      </c>
      <c r="HJ7" s="229">
        <v>1</v>
      </c>
      <c r="HK7" s="229">
        <v>1</v>
      </c>
      <c r="HL7" s="373">
        <v>2</v>
      </c>
      <c r="HM7" s="373">
        <f t="shared" ref="HM7:HM70" si="173">COUNTIF($HN7:$IQ7,"&gt;0")</f>
        <v>4</v>
      </c>
      <c r="HN7" s="145">
        <v>1</v>
      </c>
      <c r="HO7" s="145">
        <v>1.0149999999999999</v>
      </c>
      <c r="HP7" s="145">
        <v>1.0349999999999999</v>
      </c>
      <c r="HQ7" s="145">
        <v>1.0549999999999999</v>
      </c>
    </row>
    <row r="8" spans="1:251" ht="12.75" hidden="1" customHeight="1" x14ac:dyDescent="0.2">
      <c r="A8" s="373">
        <f t="shared" si="172"/>
        <v>4</v>
      </c>
      <c r="B8" s="149" t="s">
        <v>127</v>
      </c>
      <c r="C8" s="150">
        <v>1</v>
      </c>
      <c r="D8" s="150">
        <v>0.99199999999999999</v>
      </c>
      <c r="E8" s="150">
        <v>1</v>
      </c>
      <c r="F8" s="150">
        <v>1.087</v>
      </c>
      <c r="G8" s="150"/>
      <c r="H8" s="226">
        <f ca="1">OFFSET($HH8,0,'Расчет стоимости'!$M$10,1,1)</f>
        <v>1</v>
      </c>
      <c r="I8" s="150">
        <v>1</v>
      </c>
      <c r="J8" s="150">
        <v>1</v>
      </c>
      <c r="K8" s="149">
        <v>1</v>
      </c>
      <c r="L8" s="149">
        <v>1</v>
      </c>
      <c r="M8" s="372">
        <v>2.1000000000000001E-2</v>
      </c>
      <c r="N8" s="145">
        <v>1.9E-2</v>
      </c>
      <c r="O8" s="145">
        <v>0.01</v>
      </c>
      <c r="P8" s="145">
        <v>3.2000000000000001E-2</v>
      </c>
      <c r="Q8" s="145">
        <v>0</v>
      </c>
      <c r="R8" s="152" t="s">
        <v>234</v>
      </c>
      <c r="S8" s="152"/>
      <c r="T8" s="225">
        <f t="shared" si="165"/>
        <v>1</v>
      </c>
      <c r="U8" s="225">
        <f t="shared" si="165"/>
        <v>1</v>
      </c>
      <c r="V8" s="225">
        <f t="shared" si="165"/>
        <v>1</v>
      </c>
      <c r="W8" s="225">
        <f t="shared" si="165"/>
        <v>1</v>
      </c>
      <c r="X8" s="145">
        <f t="shared" si="166"/>
        <v>1</v>
      </c>
      <c r="Y8" s="145">
        <v>5.97</v>
      </c>
      <c r="Z8" s="145">
        <v>5.99</v>
      </c>
      <c r="AA8" s="145">
        <v>5.99</v>
      </c>
      <c r="AB8" s="145">
        <v>6.01</v>
      </c>
      <c r="AC8" s="145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5">
        <f t="shared" si="167"/>
        <v>1</v>
      </c>
      <c r="BE8" s="145">
        <v>3.52</v>
      </c>
      <c r="BF8" s="145">
        <v>3.59</v>
      </c>
      <c r="BG8" s="145">
        <v>3.59</v>
      </c>
      <c r="BH8" s="145">
        <v>3.6</v>
      </c>
      <c r="BI8" s="145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5">
        <f t="shared" si="168"/>
        <v>1</v>
      </c>
      <c r="CK8" s="145">
        <v>3.87</v>
      </c>
      <c r="CL8" s="145">
        <v>3.7</v>
      </c>
      <c r="CM8" s="145">
        <v>3.7</v>
      </c>
      <c r="CN8" s="145">
        <v>3.71</v>
      </c>
      <c r="CO8" s="145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5">
        <f t="shared" si="169"/>
        <v>1</v>
      </c>
      <c r="DQ8" s="145">
        <v>4.43</v>
      </c>
      <c r="DR8" s="145">
        <v>4.3</v>
      </c>
      <c r="DS8" s="145">
        <v>4.3</v>
      </c>
      <c r="DT8" s="145">
        <v>4.32</v>
      </c>
      <c r="DU8" s="145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5">
        <f t="shared" si="170"/>
        <v>1</v>
      </c>
      <c r="EW8" s="145">
        <v>4.2</v>
      </c>
      <c r="EX8" s="145">
        <v>4.03</v>
      </c>
      <c r="EY8" s="145">
        <v>4.03</v>
      </c>
      <c r="EZ8" s="145">
        <v>4.05</v>
      </c>
      <c r="FA8" s="145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5">
        <f t="shared" si="171"/>
        <v>1</v>
      </c>
      <c r="GC8" s="145">
        <v>11.23</v>
      </c>
      <c r="GD8" s="145">
        <v>11.16</v>
      </c>
      <c r="GE8" s="145">
        <v>11.16</v>
      </c>
      <c r="GF8" s="145">
        <v>11.2</v>
      </c>
      <c r="GG8" s="145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3">
        <v>1</v>
      </c>
      <c r="HI8" s="218">
        <v>1</v>
      </c>
      <c r="HJ8" s="229">
        <v>1</v>
      </c>
      <c r="HK8" s="229">
        <v>1</v>
      </c>
      <c r="HL8" s="373">
        <v>3</v>
      </c>
      <c r="HM8" s="373">
        <f t="shared" si="173"/>
        <v>1</v>
      </c>
      <c r="HN8" s="145">
        <v>1</v>
      </c>
    </row>
    <row r="9" spans="1:251" ht="12.75" hidden="1" customHeight="1" x14ac:dyDescent="0.2">
      <c r="A9" s="373">
        <f t="shared" si="172"/>
        <v>5</v>
      </c>
      <c r="B9" s="149" t="s">
        <v>140</v>
      </c>
      <c r="C9" s="150">
        <v>0.88</v>
      </c>
      <c r="D9" s="150">
        <v>0.83699999999999997</v>
      </c>
      <c r="E9" s="150">
        <v>0.999</v>
      </c>
      <c r="F9" s="150">
        <v>0.94</v>
      </c>
      <c r="G9" s="150"/>
      <c r="H9" s="226">
        <f ca="1">OFFSET($HH9,0,'Расчет стоимости'!$M$10,1,1)</f>
        <v>1</v>
      </c>
      <c r="I9" s="150">
        <v>1</v>
      </c>
      <c r="J9" s="150">
        <v>1</v>
      </c>
      <c r="K9" s="149">
        <v>1</v>
      </c>
      <c r="L9" s="149">
        <v>1</v>
      </c>
      <c r="M9" s="372">
        <v>2.1000000000000001E-2</v>
      </c>
      <c r="N9" s="145">
        <v>1.9E-2</v>
      </c>
      <c r="O9" s="145">
        <v>0.01</v>
      </c>
      <c r="P9" s="145">
        <v>3.2000000000000001E-2</v>
      </c>
      <c r="Q9" s="145">
        <v>0</v>
      </c>
      <c r="R9" s="152" t="s">
        <v>234</v>
      </c>
      <c r="S9" s="152"/>
      <c r="T9" s="225">
        <f t="shared" si="165"/>
        <v>1</v>
      </c>
      <c r="U9" s="225">
        <f t="shared" si="165"/>
        <v>1</v>
      </c>
      <c r="V9" s="225">
        <f t="shared" si="165"/>
        <v>1</v>
      </c>
      <c r="W9" s="225">
        <f t="shared" si="165"/>
        <v>1</v>
      </c>
      <c r="X9" s="145">
        <f t="shared" si="166"/>
        <v>1</v>
      </c>
      <c r="Y9" s="145">
        <v>5.91</v>
      </c>
      <c r="Z9" s="145">
        <v>5.91</v>
      </c>
      <c r="AA9" s="145">
        <v>5.91</v>
      </c>
      <c r="AB9" s="145">
        <v>5.93</v>
      </c>
      <c r="AC9" s="145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5">
        <f t="shared" si="167"/>
        <v>1</v>
      </c>
      <c r="BE9" s="145">
        <v>4.0599999999999996</v>
      </c>
      <c r="BF9" s="145">
        <v>3.95</v>
      </c>
      <c r="BG9" s="145">
        <v>3.95</v>
      </c>
      <c r="BH9" s="145">
        <v>3.93</v>
      </c>
      <c r="BI9" s="145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5">
        <f t="shared" si="168"/>
        <v>1</v>
      </c>
      <c r="CK9" s="145">
        <v>4.4400000000000004</v>
      </c>
      <c r="CL9" s="145">
        <v>4.3600000000000003</v>
      </c>
      <c r="CM9" s="145">
        <v>4.3600000000000003</v>
      </c>
      <c r="CN9" s="145">
        <v>4.32</v>
      </c>
      <c r="CO9" s="145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5">
        <f t="shared" si="169"/>
        <v>1</v>
      </c>
      <c r="DQ9" s="145">
        <v>5.42</v>
      </c>
      <c r="DR9" s="145">
        <v>5.27</v>
      </c>
      <c r="DS9" s="145">
        <v>5.27</v>
      </c>
      <c r="DT9" s="145">
        <v>5.29</v>
      </c>
      <c r="DU9" s="145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5">
        <f t="shared" si="170"/>
        <v>1</v>
      </c>
      <c r="EW9" s="145">
        <v>4.79</v>
      </c>
      <c r="EX9" s="145">
        <v>4.75</v>
      </c>
      <c r="EY9" s="145">
        <v>4.75</v>
      </c>
      <c r="EZ9" s="145">
        <v>4.76</v>
      </c>
      <c r="FA9" s="145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5">
        <f t="shared" si="171"/>
        <v>1</v>
      </c>
      <c r="GC9" s="145">
        <v>10.4</v>
      </c>
      <c r="GD9" s="145">
        <v>10.61</v>
      </c>
      <c r="GE9" s="145">
        <v>10.61</v>
      </c>
      <c r="GF9" s="145">
        <v>10.65</v>
      </c>
      <c r="GG9" s="145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3">
        <v>1</v>
      </c>
      <c r="HI9" s="218">
        <v>1</v>
      </c>
      <c r="HJ9" s="229">
        <v>1</v>
      </c>
      <c r="HK9" s="229">
        <v>1</v>
      </c>
      <c r="HM9" s="373">
        <f t="shared" si="173"/>
        <v>1</v>
      </c>
      <c r="HN9" s="145">
        <v>1</v>
      </c>
    </row>
    <row r="10" spans="1:251" ht="12.75" hidden="1" customHeight="1" x14ac:dyDescent="0.2">
      <c r="A10" s="373">
        <f t="shared" si="172"/>
        <v>6</v>
      </c>
      <c r="B10" s="149" t="s">
        <v>128</v>
      </c>
      <c r="C10" s="150">
        <v>0.95799999999999996</v>
      </c>
      <c r="D10" s="150">
        <v>0.995</v>
      </c>
      <c r="E10" s="150">
        <v>0.80600000000000005</v>
      </c>
      <c r="F10" s="150">
        <v>1.0580000000000001</v>
      </c>
      <c r="G10" s="150"/>
      <c r="H10" s="226">
        <f ca="1">OFFSET($HH10,0,'Расчет стоимости'!$M$10,1,1)</f>
        <v>1</v>
      </c>
      <c r="I10" s="150">
        <v>1</v>
      </c>
      <c r="J10" s="150">
        <v>1</v>
      </c>
      <c r="K10" s="149">
        <v>1</v>
      </c>
      <c r="L10" s="149">
        <v>1</v>
      </c>
      <c r="M10" s="372">
        <v>2.1000000000000001E-2</v>
      </c>
      <c r="N10" s="145">
        <v>1.9E-2</v>
      </c>
      <c r="O10" s="145">
        <v>0.01</v>
      </c>
      <c r="P10" s="145">
        <v>3.2000000000000001E-2</v>
      </c>
      <c r="Q10" s="145">
        <v>0</v>
      </c>
      <c r="R10" s="152" t="s">
        <v>234</v>
      </c>
      <c r="S10" s="152"/>
      <c r="T10" s="225">
        <f t="shared" si="165"/>
        <v>1</v>
      </c>
      <c r="U10" s="225">
        <f t="shared" si="165"/>
        <v>1</v>
      </c>
      <c r="V10" s="225">
        <f t="shared" si="165"/>
        <v>1</v>
      </c>
      <c r="W10" s="225">
        <f t="shared" si="165"/>
        <v>1</v>
      </c>
      <c r="X10" s="145">
        <f t="shared" si="166"/>
        <v>1</v>
      </c>
      <c r="Y10" s="145">
        <v>5.76</v>
      </c>
      <c r="Z10" s="145">
        <v>5.86</v>
      </c>
      <c r="AA10" s="145">
        <v>5.86</v>
      </c>
      <c r="AB10" s="145">
        <v>5.88</v>
      </c>
      <c r="AC10" s="145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5">
        <f t="shared" si="167"/>
        <v>1</v>
      </c>
      <c r="BE10" s="145">
        <v>4.4000000000000004</v>
      </c>
      <c r="BF10" s="145">
        <v>4.4000000000000004</v>
      </c>
      <c r="BG10" s="145">
        <v>4.4000000000000004</v>
      </c>
      <c r="BH10" s="145">
        <v>4.42</v>
      </c>
      <c r="BI10" s="145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5">
        <f t="shared" si="168"/>
        <v>1</v>
      </c>
      <c r="CK10" s="145">
        <v>4.2699999999999996</v>
      </c>
      <c r="CL10" s="145">
        <v>4.32</v>
      </c>
      <c r="CM10" s="145">
        <v>4.32</v>
      </c>
      <c r="CN10" s="145">
        <v>4.34</v>
      </c>
      <c r="CO10" s="145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5">
        <f t="shared" si="169"/>
        <v>1</v>
      </c>
      <c r="DQ10" s="145">
        <v>4.57</v>
      </c>
      <c r="DR10" s="145">
        <v>4.66</v>
      </c>
      <c r="DS10" s="145">
        <v>4.66</v>
      </c>
      <c r="DT10" s="145">
        <v>4.68</v>
      </c>
      <c r="DU10" s="145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5">
        <f t="shared" si="170"/>
        <v>1</v>
      </c>
      <c r="EW10" s="145">
        <v>4.43</v>
      </c>
      <c r="EX10" s="145">
        <v>4.4800000000000004</v>
      </c>
      <c r="EY10" s="145">
        <v>4.4800000000000004</v>
      </c>
      <c r="EZ10" s="145">
        <v>4.5</v>
      </c>
      <c r="FA10" s="145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5">
        <f t="shared" si="171"/>
        <v>1</v>
      </c>
      <c r="GC10" s="145">
        <v>10.01</v>
      </c>
      <c r="GD10" s="145">
        <v>10.210000000000001</v>
      </c>
      <c r="GE10" s="145">
        <v>10.210000000000001</v>
      </c>
      <c r="GF10" s="145">
        <v>10.25</v>
      </c>
      <c r="GG10" s="145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3">
        <v>1</v>
      </c>
      <c r="HI10" s="218">
        <v>1</v>
      </c>
      <c r="HJ10" s="229">
        <v>1</v>
      </c>
      <c r="HK10" s="229">
        <v>1</v>
      </c>
      <c r="HM10" s="373">
        <f t="shared" si="173"/>
        <v>1</v>
      </c>
      <c r="HN10" s="145">
        <v>1</v>
      </c>
    </row>
    <row r="11" spans="1:251" ht="12.75" hidden="1" customHeight="1" x14ac:dyDescent="0.2">
      <c r="A11" s="373">
        <f t="shared" si="172"/>
        <v>7</v>
      </c>
      <c r="B11" s="149" t="s">
        <v>129</v>
      </c>
      <c r="C11" s="150">
        <v>0.96599999999999997</v>
      </c>
      <c r="D11" s="150">
        <v>0.97399999999999998</v>
      </c>
      <c r="E11" s="150">
        <v>0.93799999999999994</v>
      </c>
      <c r="F11" s="150">
        <v>0.96499999999999997</v>
      </c>
      <c r="G11" s="150"/>
      <c r="H11" s="226">
        <f ca="1">OFFSET($HH11,0,'Расчет стоимости'!$M$10,1,1)</f>
        <v>1</v>
      </c>
      <c r="I11" s="150">
        <v>1</v>
      </c>
      <c r="J11" s="150">
        <v>1</v>
      </c>
      <c r="K11" s="149">
        <v>1</v>
      </c>
      <c r="L11" s="149">
        <v>1</v>
      </c>
      <c r="M11" s="372">
        <v>2.1000000000000001E-2</v>
      </c>
      <c r="N11" s="145">
        <v>1.9E-2</v>
      </c>
      <c r="O11" s="145">
        <v>0.01</v>
      </c>
      <c r="P11" s="145">
        <v>3.2000000000000001E-2</v>
      </c>
      <c r="Q11" s="145">
        <v>0</v>
      </c>
      <c r="R11" s="152" t="s">
        <v>234</v>
      </c>
      <c r="S11" s="152"/>
      <c r="T11" s="225">
        <f t="shared" si="165"/>
        <v>1</v>
      </c>
      <c r="U11" s="225">
        <f t="shared" si="165"/>
        <v>1</v>
      </c>
      <c r="V11" s="225">
        <f t="shared" si="165"/>
        <v>1</v>
      </c>
      <c r="W11" s="225">
        <f t="shared" si="165"/>
        <v>1</v>
      </c>
      <c r="X11" s="145">
        <f t="shared" si="166"/>
        <v>1</v>
      </c>
      <c r="Y11" s="145">
        <v>5.66</v>
      </c>
      <c r="Z11" s="145">
        <v>5.73</v>
      </c>
      <c r="AA11" s="145">
        <v>5.73</v>
      </c>
      <c r="AB11" s="145">
        <v>5.75</v>
      </c>
      <c r="AC11" s="145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5">
        <f t="shared" si="167"/>
        <v>1</v>
      </c>
      <c r="BE11" s="145">
        <v>3.61</v>
      </c>
      <c r="BF11" s="145">
        <v>3.68</v>
      </c>
      <c r="BG11" s="145">
        <v>3.68</v>
      </c>
      <c r="BH11" s="145">
        <v>3.69</v>
      </c>
      <c r="BI11" s="145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5">
        <f t="shared" si="168"/>
        <v>1</v>
      </c>
      <c r="CK11" s="145">
        <v>3.85</v>
      </c>
      <c r="CL11" s="145">
        <v>3.93</v>
      </c>
      <c r="CM11" s="145">
        <v>3.93</v>
      </c>
      <c r="CN11" s="145">
        <v>3.95</v>
      </c>
      <c r="CO11" s="145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5">
        <f t="shared" si="169"/>
        <v>1</v>
      </c>
      <c r="DQ11" s="145">
        <v>4.24</v>
      </c>
      <c r="DR11" s="145">
        <v>4.2300000000000004</v>
      </c>
      <c r="DS11" s="145">
        <v>4.2300000000000004</v>
      </c>
      <c r="DT11" s="145">
        <v>4.25</v>
      </c>
      <c r="DU11" s="145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5">
        <f t="shared" si="170"/>
        <v>1</v>
      </c>
      <c r="EW11" s="145">
        <v>4.18</v>
      </c>
      <c r="EX11" s="145">
        <v>4.26</v>
      </c>
      <c r="EY11" s="145">
        <v>4.26</v>
      </c>
      <c r="EZ11" s="145">
        <v>4.28</v>
      </c>
      <c r="FA11" s="145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5">
        <f t="shared" si="171"/>
        <v>1</v>
      </c>
      <c r="GC11" s="145">
        <v>11.2</v>
      </c>
      <c r="GD11" s="145">
        <v>11.19</v>
      </c>
      <c r="GE11" s="145">
        <v>11.19</v>
      </c>
      <c r="GF11" s="145">
        <v>11.23</v>
      </c>
      <c r="GG11" s="145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3">
        <v>1</v>
      </c>
      <c r="HI11" s="218">
        <v>1</v>
      </c>
      <c r="HJ11" s="229">
        <v>1</v>
      </c>
      <c r="HK11" s="229">
        <v>1</v>
      </c>
      <c r="HM11" s="373">
        <f t="shared" si="173"/>
        <v>1</v>
      </c>
      <c r="HN11" s="145">
        <v>1</v>
      </c>
    </row>
    <row r="12" spans="1:251" ht="12.75" hidden="1" customHeight="1" x14ac:dyDescent="0.2">
      <c r="A12" s="373">
        <f t="shared" si="172"/>
        <v>8</v>
      </c>
      <c r="B12" s="149" t="s">
        <v>130</v>
      </c>
      <c r="C12" s="150">
        <v>0.98699999999999999</v>
      </c>
      <c r="D12" s="150">
        <v>1.018</v>
      </c>
      <c r="E12" s="150">
        <v>0.875</v>
      </c>
      <c r="F12" s="150">
        <v>1.0069999999999999</v>
      </c>
      <c r="G12" s="150"/>
      <c r="H12" s="226">
        <f ca="1">OFFSET($HH12,0,'Расчет стоимости'!$M$10,1,1)</f>
        <v>1</v>
      </c>
      <c r="I12" s="150">
        <v>1</v>
      </c>
      <c r="J12" s="150">
        <v>1</v>
      </c>
      <c r="K12" s="149">
        <v>1</v>
      </c>
      <c r="L12" s="149">
        <v>1</v>
      </c>
      <c r="M12" s="372">
        <v>3.2000000000000001E-2</v>
      </c>
      <c r="N12" s="145">
        <v>2.8999999999999998E-2</v>
      </c>
      <c r="O12" s="145">
        <v>1.3000000000000001E-2</v>
      </c>
      <c r="P12" s="145">
        <v>0.04</v>
      </c>
      <c r="Q12" s="145">
        <v>3.0000000000000001E-3</v>
      </c>
      <c r="R12" s="152" t="s">
        <v>235</v>
      </c>
      <c r="S12" s="152"/>
      <c r="T12" s="225">
        <f t="shared" si="165"/>
        <v>1</v>
      </c>
      <c r="U12" s="225">
        <f t="shared" si="165"/>
        <v>1</v>
      </c>
      <c r="V12" s="225">
        <f t="shared" si="165"/>
        <v>1</v>
      </c>
      <c r="W12" s="225">
        <f t="shared" si="165"/>
        <v>1</v>
      </c>
      <c r="X12" s="145">
        <f t="shared" si="166"/>
        <v>1</v>
      </c>
      <c r="Y12" s="145">
        <v>5.43</v>
      </c>
      <c r="Z12" s="145">
        <v>5.53</v>
      </c>
      <c r="AA12" s="145">
        <v>5.53</v>
      </c>
      <c r="AB12" s="145">
        <v>5.55</v>
      </c>
      <c r="AC12" s="145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5">
        <f t="shared" si="167"/>
        <v>1</v>
      </c>
      <c r="BE12" s="145">
        <v>3.56</v>
      </c>
      <c r="BF12" s="145">
        <v>3.63</v>
      </c>
      <c r="BG12" s="145">
        <v>3.63</v>
      </c>
      <c r="BH12" s="145">
        <v>3.64</v>
      </c>
      <c r="BI12" s="145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5">
        <f t="shared" si="168"/>
        <v>1</v>
      </c>
      <c r="CK12" s="145">
        <v>3.97</v>
      </c>
      <c r="CL12" s="145">
        <v>4.05</v>
      </c>
      <c r="CM12" s="145">
        <v>4.05</v>
      </c>
      <c r="CN12" s="145">
        <v>4.07</v>
      </c>
      <c r="CO12" s="145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5">
        <f t="shared" si="169"/>
        <v>1</v>
      </c>
      <c r="DQ12" s="145">
        <v>4.22</v>
      </c>
      <c r="DR12" s="145">
        <v>4.3</v>
      </c>
      <c r="DS12" s="145">
        <v>4.3</v>
      </c>
      <c r="DT12" s="145">
        <v>4.32</v>
      </c>
      <c r="DU12" s="145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5">
        <f t="shared" si="170"/>
        <v>1</v>
      </c>
      <c r="EW12" s="145">
        <v>4.34</v>
      </c>
      <c r="EX12" s="145">
        <v>4.4000000000000004</v>
      </c>
      <c r="EY12" s="145">
        <v>4.4000000000000004</v>
      </c>
      <c r="EZ12" s="145">
        <v>4.42</v>
      </c>
      <c r="FA12" s="145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5">
        <f t="shared" si="171"/>
        <v>1</v>
      </c>
      <c r="GC12" s="145">
        <v>10.039999999999999</v>
      </c>
      <c r="GD12" s="145">
        <v>10.24</v>
      </c>
      <c r="GE12" s="145">
        <v>10.24</v>
      </c>
      <c r="GF12" s="145">
        <v>10.28</v>
      </c>
      <c r="GG12" s="145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3">
        <v>1</v>
      </c>
      <c r="HI12" s="218">
        <v>1</v>
      </c>
      <c r="HJ12" s="229">
        <v>1</v>
      </c>
      <c r="HK12" s="229">
        <v>1</v>
      </c>
      <c r="HM12" s="373">
        <f t="shared" si="173"/>
        <v>1</v>
      </c>
      <c r="HN12" s="145">
        <v>1</v>
      </c>
    </row>
    <row r="13" spans="1:251" hidden="1" x14ac:dyDescent="0.2">
      <c r="A13" s="373">
        <f>A12+1</f>
        <v>9</v>
      </c>
      <c r="B13" s="149" t="s">
        <v>141</v>
      </c>
      <c r="C13" s="150">
        <v>0.93500000000000005</v>
      </c>
      <c r="D13" s="150">
        <v>0.92200000000000004</v>
      </c>
      <c r="E13" s="150">
        <v>0.91900000000000004</v>
      </c>
      <c r="F13" s="150">
        <v>1.1519999999999999</v>
      </c>
      <c r="G13" s="150"/>
      <c r="H13" s="226">
        <f ca="1">OFFSET($HH13,0,'Расчет стоимости'!$M$10,1,1)</f>
        <v>1</v>
      </c>
      <c r="I13" s="150">
        <v>1</v>
      </c>
      <c r="J13" s="150">
        <v>1</v>
      </c>
      <c r="K13" s="149">
        <v>1</v>
      </c>
      <c r="L13" s="149">
        <v>1</v>
      </c>
      <c r="M13" s="372">
        <v>2.1000000000000001E-2</v>
      </c>
      <c r="N13" s="145">
        <v>1.9E-2</v>
      </c>
      <c r="O13" s="145">
        <v>0.01</v>
      </c>
      <c r="P13" s="145">
        <v>3.2000000000000001E-2</v>
      </c>
      <c r="Q13" s="145">
        <v>0</v>
      </c>
      <c r="R13" s="152" t="s">
        <v>234</v>
      </c>
      <c r="S13" s="152"/>
      <c r="T13" s="225">
        <f t="shared" si="165"/>
        <v>1</v>
      </c>
      <c r="U13" s="225">
        <f t="shared" si="165"/>
        <v>1</v>
      </c>
      <c r="V13" s="225">
        <f t="shared" si="165"/>
        <v>1</v>
      </c>
      <c r="W13" s="225">
        <f t="shared" si="165"/>
        <v>1</v>
      </c>
      <c r="X13" s="145">
        <f t="shared" si="166"/>
        <v>1</v>
      </c>
      <c r="Y13" s="145">
        <v>5.13</v>
      </c>
      <c r="Z13" s="145">
        <v>5.23</v>
      </c>
      <c r="AA13" s="145">
        <v>5.23</v>
      </c>
      <c r="AB13" s="145">
        <v>5.25</v>
      </c>
      <c r="AC13" s="145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5">
        <f t="shared" si="167"/>
        <v>1</v>
      </c>
      <c r="BE13" s="145">
        <v>3.92</v>
      </c>
      <c r="BF13" s="145">
        <v>4</v>
      </c>
      <c r="BG13" s="145">
        <v>4</v>
      </c>
      <c r="BH13" s="145">
        <v>4.0199999999999996</v>
      </c>
      <c r="BI13" s="145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5">
        <f t="shared" si="168"/>
        <v>1</v>
      </c>
      <c r="CK13" s="145">
        <v>4.21</v>
      </c>
      <c r="CL13" s="145">
        <v>4.29</v>
      </c>
      <c r="CM13" s="145">
        <v>4.29</v>
      </c>
      <c r="CN13" s="145">
        <v>4.3099999999999996</v>
      </c>
      <c r="CO13" s="145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5">
        <f t="shared" si="169"/>
        <v>1</v>
      </c>
      <c r="DQ13" s="145">
        <v>4.4400000000000004</v>
      </c>
      <c r="DR13" s="145">
        <v>4.5199999999999996</v>
      </c>
      <c r="DS13" s="145">
        <v>4.5199999999999996</v>
      </c>
      <c r="DT13" s="145">
        <v>4.54</v>
      </c>
      <c r="DU13" s="145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5">
        <f t="shared" si="170"/>
        <v>1</v>
      </c>
      <c r="EW13" s="145">
        <v>4.68</v>
      </c>
      <c r="EX13" s="145">
        <v>4.68</v>
      </c>
      <c r="EY13" s="145">
        <v>4.68</v>
      </c>
      <c r="EZ13" s="145">
        <v>4.7</v>
      </c>
      <c r="FA13" s="145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5">
        <f t="shared" si="171"/>
        <v>1</v>
      </c>
      <c r="GC13" s="145">
        <v>10.27</v>
      </c>
      <c r="GD13" s="145">
        <v>10.47</v>
      </c>
      <c r="GE13" s="145">
        <v>10.47</v>
      </c>
      <c r="GF13" s="145">
        <v>10.51</v>
      </c>
      <c r="GG13" s="145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3">
        <v>1</v>
      </c>
      <c r="HI13" s="218">
        <v>1</v>
      </c>
      <c r="HJ13" s="229">
        <v>1</v>
      </c>
      <c r="HK13" s="229">
        <v>1</v>
      </c>
      <c r="HM13" s="373">
        <f t="shared" si="173"/>
        <v>1</v>
      </c>
      <c r="HN13" s="145">
        <v>1</v>
      </c>
    </row>
    <row r="14" spans="1:251" hidden="1" x14ac:dyDescent="0.2">
      <c r="A14" s="373">
        <f t="shared" si="172"/>
        <v>10</v>
      </c>
      <c r="B14" s="149" t="s">
        <v>142</v>
      </c>
      <c r="C14" s="150">
        <v>0.86</v>
      </c>
      <c r="D14" s="150">
        <v>0.92100000000000004</v>
      </c>
      <c r="E14" s="150">
        <v>0.628</v>
      </c>
      <c r="F14" s="150">
        <v>0.93899999999999995</v>
      </c>
      <c r="G14" s="150"/>
      <c r="H14" s="226">
        <f ca="1">OFFSET($HH14,0,'Расчет стоимости'!$M$10,1,1)</f>
        <v>1</v>
      </c>
      <c r="I14" s="150">
        <v>1</v>
      </c>
      <c r="J14" s="150">
        <v>1</v>
      </c>
      <c r="K14" s="149">
        <v>1</v>
      </c>
      <c r="L14" s="149">
        <v>1</v>
      </c>
      <c r="M14" s="372">
        <v>2.1000000000000001E-2</v>
      </c>
      <c r="N14" s="145">
        <v>1.9E-2</v>
      </c>
      <c r="O14" s="145">
        <v>0.01</v>
      </c>
      <c r="P14" s="145">
        <v>3.2000000000000001E-2</v>
      </c>
      <c r="Q14" s="145">
        <v>0</v>
      </c>
      <c r="R14" s="152" t="s">
        <v>234</v>
      </c>
      <c r="S14" s="152"/>
      <c r="T14" s="225">
        <f t="shared" si="165"/>
        <v>1</v>
      </c>
      <c r="U14" s="225">
        <f t="shared" si="165"/>
        <v>1</v>
      </c>
      <c r="V14" s="225">
        <f t="shared" si="165"/>
        <v>1</v>
      </c>
      <c r="W14" s="225">
        <f t="shared" si="165"/>
        <v>1</v>
      </c>
      <c r="X14" s="145">
        <f t="shared" si="166"/>
        <v>1</v>
      </c>
      <c r="Y14" s="145">
        <v>5.46</v>
      </c>
      <c r="Z14" s="145">
        <v>5.56</v>
      </c>
      <c r="AA14" s="145">
        <v>5.56</v>
      </c>
      <c r="AB14" s="145">
        <v>5.58</v>
      </c>
      <c r="AC14" s="145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5">
        <f t="shared" si="167"/>
        <v>1</v>
      </c>
      <c r="BE14" s="145">
        <v>3.61</v>
      </c>
      <c r="BF14" s="145">
        <v>3.57</v>
      </c>
      <c r="BG14" s="145">
        <v>3.57</v>
      </c>
      <c r="BH14" s="145">
        <v>3.58</v>
      </c>
      <c r="BI14" s="145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5">
        <f t="shared" si="168"/>
        <v>1</v>
      </c>
      <c r="CK14" s="145">
        <v>3.81</v>
      </c>
      <c r="CL14" s="145">
        <v>3.79</v>
      </c>
      <c r="CM14" s="145">
        <v>3.79</v>
      </c>
      <c r="CN14" s="145">
        <v>3.8</v>
      </c>
      <c r="CO14" s="145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5">
        <f t="shared" si="169"/>
        <v>1</v>
      </c>
      <c r="DQ14" s="145">
        <v>4.1399999999999997</v>
      </c>
      <c r="DR14" s="145">
        <v>4.2</v>
      </c>
      <c r="DS14" s="145">
        <v>4.2</v>
      </c>
      <c r="DT14" s="145">
        <v>4.22</v>
      </c>
      <c r="DU14" s="145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5">
        <f t="shared" si="170"/>
        <v>1</v>
      </c>
      <c r="EW14" s="145">
        <v>3.92</v>
      </c>
      <c r="EX14" s="145">
        <v>3.96</v>
      </c>
      <c r="EY14" s="145">
        <v>3.96</v>
      </c>
      <c r="EZ14" s="145">
        <v>3.98</v>
      </c>
      <c r="FA14" s="145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5">
        <f t="shared" si="171"/>
        <v>1</v>
      </c>
      <c r="GC14" s="145">
        <v>8.9499999999999993</v>
      </c>
      <c r="GD14" s="145">
        <v>9.1300000000000008</v>
      </c>
      <c r="GE14" s="145">
        <v>9.1300000000000008</v>
      </c>
      <c r="GF14" s="145">
        <v>9.17</v>
      </c>
      <c r="GG14" s="145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3">
        <v>1</v>
      </c>
      <c r="HI14" s="218">
        <v>1</v>
      </c>
      <c r="HJ14" s="229">
        <v>1</v>
      </c>
      <c r="HK14" s="229">
        <v>1</v>
      </c>
      <c r="HM14" s="373">
        <f t="shared" si="173"/>
        <v>1</v>
      </c>
      <c r="HN14" s="145">
        <v>1</v>
      </c>
    </row>
    <row r="15" spans="1:251" ht="12.75" hidden="1" customHeight="1" x14ac:dyDescent="0.2">
      <c r="A15" s="373">
        <f t="shared" si="172"/>
        <v>11</v>
      </c>
      <c r="B15" s="149" t="s">
        <v>131</v>
      </c>
      <c r="C15" s="150">
        <v>1.0029999999999999</v>
      </c>
      <c r="D15" s="150">
        <v>1.0029999999999999</v>
      </c>
      <c r="E15" s="150">
        <v>1.0009999999999999</v>
      </c>
      <c r="F15" s="150">
        <v>1.0109999999999999</v>
      </c>
      <c r="G15" s="150"/>
      <c r="H15" s="226">
        <f ca="1">OFFSET($HH15,0,'Расчет стоимости'!$M$10,1,1)</f>
        <v>1</v>
      </c>
      <c r="I15" s="150">
        <v>1</v>
      </c>
      <c r="J15" s="150">
        <v>1</v>
      </c>
      <c r="K15" s="149">
        <v>1</v>
      </c>
      <c r="L15" s="149">
        <v>1</v>
      </c>
      <c r="M15" s="372">
        <v>2.1000000000000001E-2</v>
      </c>
      <c r="N15" s="145">
        <v>1.9E-2</v>
      </c>
      <c r="O15" s="145">
        <v>0.01</v>
      </c>
      <c r="P15" s="145">
        <v>3.2000000000000001E-2</v>
      </c>
      <c r="Q15" s="145">
        <v>0</v>
      </c>
      <c r="R15" s="152" t="s">
        <v>234</v>
      </c>
      <c r="S15" s="152"/>
      <c r="T15" s="225">
        <f t="shared" si="165"/>
        <v>1</v>
      </c>
      <c r="U15" s="225">
        <f t="shared" si="165"/>
        <v>1</v>
      </c>
      <c r="V15" s="225">
        <f t="shared" si="165"/>
        <v>1</v>
      </c>
      <c r="W15" s="225">
        <f t="shared" si="165"/>
        <v>1</v>
      </c>
      <c r="X15" s="145">
        <f t="shared" si="166"/>
        <v>1</v>
      </c>
      <c r="Y15" s="145">
        <v>6.62</v>
      </c>
      <c r="Z15" s="145">
        <v>6.63</v>
      </c>
      <c r="AA15" s="145">
        <v>6.63</v>
      </c>
      <c r="AB15" s="145">
        <v>6.66</v>
      </c>
      <c r="AC15" s="145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5">
        <f t="shared" si="167"/>
        <v>1</v>
      </c>
      <c r="BE15" s="145">
        <v>3.68</v>
      </c>
      <c r="BF15" s="145">
        <v>3.76</v>
      </c>
      <c r="BG15" s="145">
        <v>3.76</v>
      </c>
      <c r="BH15" s="145">
        <v>3.78</v>
      </c>
      <c r="BI15" s="145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5">
        <f t="shared" si="168"/>
        <v>1</v>
      </c>
      <c r="CK15" s="145">
        <v>4.42</v>
      </c>
      <c r="CL15" s="145">
        <v>4.5</v>
      </c>
      <c r="CM15" s="145">
        <v>4.5</v>
      </c>
      <c r="CN15" s="145">
        <v>4.5199999999999996</v>
      </c>
      <c r="CO15" s="145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5">
        <f t="shared" si="169"/>
        <v>1</v>
      </c>
      <c r="DQ15" s="145">
        <v>5.51</v>
      </c>
      <c r="DR15" s="145">
        <v>5.56</v>
      </c>
      <c r="DS15" s="145">
        <v>5.56</v>
      </c>
      <c r="DT15" s="145">
        <v>5.58</v>
      </c>
      <c r="DU15" s="145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5">
        <f t="shared" si="170"/>
        <v>1</v>
      </c>
      <c r="EW15" s="145">
        <v>5.57</v>
      </c>
      <c r="EX15" s="145">
        <v>5.69</v>
      </c>
      <c r="EY15" s="145">
        <v>5.69</v>
      </c>
      <c r="EZ15" s="145">
        <v>5.71</v>
      </c>
      <c r="FA15" s="145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5">
        <f t="shared" si="171"/>
        <v>1</v>
      </c>
      <c r="GC15" s="145">
        <v>16.48</v>
      </c>
      <c r="GD15" s="145">
        <v>16.52</v>
      </c>
      <c r="GE15" s="145">
        <v>16.52</v>
      </c>
      <c r="GF15" s="145">
        <v>16.59</v>
      </c>
      <c r="GG15" s="145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3">
        <v>1</v>
      </c>
      <c r="HI15" s="218">
        <v>1</v>
      </c>
      <c r="HJ15" s="229">
        <v>1</v>
      </c>
      <c r="HK15" s="229">
        <v>1</v>
      </c>
      <c r="HM15" s="373">
        <f t="shared" si="173"/>
        <v>1</v>
      </c>
      <c r="HN15" s="145">
        <v>1</v>
      </c>
    </row>
    <row r="16" spans="1:251" ht="12.75" hidden="1" customHeight="1" x14ac:dyDescent="0.2">
      <c r="A16" s="373">
        <f t="shared" si="172"/>
        <v>12</v>
      </c>
      <c r="B16" s="149" t="s">
        <v>132</v>
      </c>
      <c r="C16" s="150">
        <v>1.0069999999999999</v>
      </c>
      <c r="D16" s="150">
        <v>1.006</v>
      </c>
      <c r="E16" s="150">
        <v>1.0089999999999999</v>
      </c>
      <c r="F16" s="150">
        <v>1.008</v>
      </c>
      <c r="G16" s="150"/>
      <c r="H16" s="226">
        <f ca="1">OFFSET($HH16,0,'Расчет стоимости'!$M$10,1,1)</f>
        <v>1</v>
      </c>
      <c r="I16" s="150">
        <v>1</v>
      </c>
      <c r="J16" s="150">
        <v>1</v>
      </c>
      <c r="K16" s="149">
        <v>1</v>
      </c>
      <c r="L16" s="149">
        <v>1</v>
      </c>
      <c r="M16" s="372">
        <v>2.1000000000000001E-2</v>
      </c>
      <c r="N16" s="145">
        <v>1.9E-2</v>
      </c>
      <c r="O16" s="145">
        <v>0.01</v>
      </c>
      <c r="P16" s="145">
        <v>3.2000000000000001E-2</v>
      </c>
      <c r="Q16" s="145">
        <v>0</v>
      </c>
      <c r="R16" s="152" t="s">
        <v>234</v>
      </c>
      <c r="S16" s="152"/>
      <c r="T16" s="225">
        <f t="shared" si="165"/>
        <v>1</v>
      </c>
      <c r="U16" s="225">
        <f t="shared" si="165"/>
        <v>1</v>
      </c>
      <c r="V16" s="225">
        <f t="shared" si="165"/>
        <v>1</v>
      </c>
      <c r="W16" s="225">
        <f t="shared" si="165"/>
        <v>1</v>
      </c>
      <c r="X16" s="145">
        <f t="shared" si="166"/>
        <v>1</v>
      </c>
      <c r="Y16" s="145">
        <v>5.65</v>
      </c>
      <c r="Z16" s="145">
        <v>5.77</v>
      </c>
      <c r="AA16" s="145">
        <v>5.77</v>
      </c>
      <c r="AB16" s="145">
        <v>5.79</v>
      </c>
      <c r="AC16" s="145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5">
        <f t="shared" si="167"/>
        <v>1</v>
      </c>
      <c r="BE16" s="145">
        <v>4.16</v>
      </c>
      <c r="BF16" s="145">
        <v>4.24</v>
      </c>
      <c r="BG16" s="145">
        <v>4.24</v>
      </c>
      <c r="BH16" s="145">
        <v>4.26</v>
      </c>
      <c r="BI16" s="145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5">
        <f t="shared" si="168"/>
        <v>1</v>
      </c>
      <c r="CK16" s="145">
        <v>4.18</v>
      </c>
      <c r="CL16" s="145">
        <v>4.26</v>
      </c>
      <c r="CM16" s="145">
        <v>4.26</v>
      </c>
      <c r="CN16" s="145">
        <v>4.28</v>
      </c>
      <c r="CO16" s="145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5">
        <f t="shared" si="169"/>
        <v>1</v>
      </c>
      <c r="DQ16" s="145">
        <v>4.66</v>
      </c>
      <c r="DR16" s="145">
        <v>4.76</v>
      </c>
      <c r="DS16" s="145">
        <v>4.76</v>
      </c>
      <c r="DT16" s="145">
        <v>4.78</v>
      </c>
      <c r="DU16" s="145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5">
        <f t="shared" si="170"/>
        <v>1</v>
      </c>
      <c r="EW16" s="145">
        <v>4.42</v>
      </c>
      <c r="EX16" s="145">
        <v>4.5</v>
      </c>
      <c r="EY16" s="145">
        <v>4.5</v>
      </c>
      <c r="EZ16" s="145">
        <v>4.5199999999999996</v>
      </c>
      <c r="FA16" s="145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5">
        <f t="shared" si="171"/>
        <v>1</v>
      </c>
      <c r="GC16" s="145">
        <v>10.34</v>
      </c>
      <c r="GD16" s="145">
        <v>10.54</v>
      </c>
      <c r="GE16" s="145">
        <v>10.54</v>
      </c>
      <c r="GF16" s="145">
        <v>10.58</v>
      </c>
      <c r="GG16" s="145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3">
        <v>1</v>
      </c>
      <c r="HI16" s="218">
        <v>1</v>
      </c>
      <c r="HJ16" s="229">
        <v>1</v>
      </c>
      <c r="HK16" s="229">
        <v>1</v>
      </c>
      <c r="HM16" s="373">
        <f t="shared" si="173"/>
        <v>1</v>
      </c>
      <c r="HN16" s="145">
        <v>1</v>
      </c>
    </row>
    <row r="17" spans="1:247" ht="12.75" hidden="1" customHeight="1" x14ac:dyDescent="0.2">
      <c r="A17" s="373">
        <f t="shared" si="172"/>
        <v>13</v>
      </c>
      <c r="B17" s="149" t="s">
        <v>1248</v>
      </c>
      <c r="C17" s="150">
        <v>1.026</v>
      </c>
      <c r="D17" s="150">
        <v>1.036</v>
      </c>
      <c r="E17" s="150">
        <v>1</v>
      </c>
      <c r="F17" s="150">
        <v>0.99099999999999999</v>
      </c>
      <c r="G17" s="150"/>
      <c r="H17" s="226">
        <f ca="1">OFFSET($HH17,0,'Расчет стоимости'!$M$10,1,1)</f>
        <v>1</v>
      </c>
      <c r="I17" s="150">
        <v>1</v>
      </c>
      <c r="J17" s="150">
        <v>1</v>
      </c>
      <c r="K17" s="149">
        <v>1</v>
      </c>
      <c r="L17" s="149">
        <v>1</v>
      </c>
      <c r="M17" s="372">
        <v>2.1000000000000001E-2</v>
      </c>
      <c r="N17" s="145">
        <v>1.9E-2</v>
      </c>
      <c r="O17" s="145">
        <v>0.01</v>
      </c>
      <c r="P17" s="145">
        <v>3.2000000000000001E-2</v>
      </c>
      <c r="Q17" s="145">
        <v>0</v>
      </c>
      <c r="R17" s="152" t="s">
        <v>234</v>
      </c>
      <c r="S17" s="152"/>
      <c r="T17" s="225">
        <f t="shared" si="165"/>
        <v>1</v>
      </c>
      <c r="U17" s="225">
        <f t="shared" si="165"/>
        <v>1</v>
      </c>
      <c r="V17" s="225">
        <f t="shared" si="165"/>
        <v>1</v>
      </c>
      <c r="W17" s="225">
        <f t="shared" si="165"/>
        <v>1</v>
      </c>
      <c r="X17" s="145">
        <f t="shared" si="166"/>
        <v>1</v>
      </c>
      <c r="Y17" s="145">
        <v>5.94</v>
      </c>
      <c r="Z17" s="145">
        <v>6.06</v>
      </c>
      <c r="AA17" s="145">
        <v>6.06</v>
      </c>
      <c r="AB17" s="145">
        <v>6.08</v>
      </c>
      <c r="AC17" s="145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5">
        <f t="shared" si="167"/>
        <v>1</v>
      </c>
      <c r="BE17" s="145">
        <v>3.93</v>
      </c>
      <c r="BF17" s="145">
        <v>3.92</v>
      </c>
      <c r="BG17" s="145">
        <v>3.92</v>
      </c>
      <c r="BH17" s="145">
        <v>3.94</v>
      </c>
      <c r="BI17" s="145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5">
        <f t="shared" si="168"/>
        <v>1</v>
      </c>
      <c r="CK17" s="145">
        <v>4.58</v>
      </c>
      <c r="CL17" s="145">
        <v>4.54</v>
      </c>
      <c r="CM17" s="145">
        <v>4.54</v>
      </c>
      <c r="CN17" s="145">
        <v>4.5599999999999996</v>
      </c>
      <c r="CO17" s="145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5">
        <f t="shared" si="169"/>
        <v>1</v>
      </c>
      <c r="DQ17" s="145">
        <v>4.75</v>
      </c>
      <c r="DR17" s="145">
        <v>4.79</v>
      </c>
      <c r="DS17" s="145">
        <v>4.79</v>
      </c>
      <c r="DT17" s="145">
        <v>4.8099999999999996</v>
      </c>
      <c r="DU17" s="145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5">
        <f t="shared" si="170"/>
        <v>1</v>
      </c>
      <c r="EW17" s="145">
        <v>4.96</v>
      </c>
      <c r="EX17" s="145">
        <v>4.9400000000000004</v>
      </c>
      <c r="EY17" s="145">
        <v>4.9400000000000004</v>
      </c>
      <c r="EZ17" s="145">
        <v>4.96</v>
      </c>
      <c r="FA17" s="145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5">
        <f t="shared" si="171"/>
        <v>1</v>
      </c>
      <c r="GC17" s="145">
        <v>10.32</v>
      </c>
      <c r="GD17" s="145">
        <v>10.51</v>
      </c>
      <c r="GE17" s="145">
        <v>10.51</v>
      </c>
      <c r="GF17" s="145">
        <v>10.55</v>
      </c>
      <c r="GG17" s="145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3">
        <v>1</v>
      </c>
      <c r="HI17" s="218">
        <v>1</v>
      </c>
      <c r="HJ17" s="229">
        <v>1</v>
      </c>
      <c r="HK17" s="229">
        <v>1</v>
      </c>
      <c r="HM17" s="373">
        <f t="shared" si="173"/>
        <v>1</v>
      </c>
      <c r="HN17" s="145">
        <v>1</v>
      </c>
    </row>
    <row r="18" spans="1:247" ht="12.75" hidden="1" customHeight="1" x14ac:dyDescent="0.2">
      <c r="A18" s="373">
        <f t="shared" si="172"/>
        <v>14</v>
      </c>
      <c r="B18" s="149" t="s">
        <v>133</v>
      </c>
      <c r="C18" s="150">
        <v>0.90600000000000003</v>
      </c>
      <c r="D18" s="150">
        <v>0.92600000000000005</v>
      </c>
      <c r="E18" s="150">
        <v>0.81299999999999994</v>
      </c>
      <c r="F18" s="150">
        <v>0.99399999999999999</v>
      </c>
      <c r="G18" s="150"/>
      <c r="H18" s="226">
        <f ca="1">OFFSET($HH18,0,'Расчет стоимости'!$M$10,1,1)</f>
        <v>1</v>
      </c>
      <c r="I18" s="150">
        <v>1</v>
      </c>
      <c r="J18" s="150">
        <v>1</v>
      </c>
      <c r="K18" s="149">
        <v>1</v>
      </c>
      <c r="L18" s="149">
        <v>1</v>
      </c>
      <c r="M18" s="372">
        <v>2.1000000000000001E-2</v>
      </c>
      <c r="N18" s="145">
        <v>1.9E-2</v>
      </c>
      <c r="O18" s="145">
        <v>0.01</v>
      </c>
      <c r="P18" s="145">
        <v>3.2000000000000001E-2</v>
      </c>
      <c r="Q18" s="145">
        <v>0</v>
      </c>
      <c r="R18" s="152" t="s">
        <v>234</v>
      </c>
      <c r="S18" s="152"/>
      <c r="T18" s="225">
        <f t="shared" si="165"/>
        <v>1</v>
      </c>
      <c r="U18" s="225">
        <f t="shared" si="165"/>
        <v>1</v>
      </c>
      <c r="V18" s="225">
        <f t="shared" si="165"/>
        <v>1</v>
      </c>
      <c r="W18" s="225">
        <f t="shared" si="165"/>
        <v>1</v>
      </c>
      <c r="X18" s="145">
        <f t="shared" si="166"/>
        <v>1</v>
      </c>
      <c r="Y18" s="145">
        <v>5.36</v>
      </c>
      <c r="Z18" s="145">
        <v>5.46</v>
      </c>
      <c r="AA18" s="145">
        <v>5.46</v>
      </c>
      <c r="AB18" s="145">
        <v>5.48</v>
      </c>
      <c r="AC18" s="145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5">
        <f t="shared" si="167"/>
        <v>1</v>
      </c>
      <c r="BE18" s="145">
        <v>3.56</v>
      </c>
      <c r="BF18" s="145">
        <v>3.63</v>
      </c>
      <c r="BG18" s="145">
        <v>3.63</v>
      </c>
      <c r="BH18" s="145">
        <v>3.64</v>
      </c>
      <c r="BI18" s="145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5">
        <f t="shared" si="168"/>
        <v>1</v>
      </c>
      <c r="CK18" s="145">
        <v>3.77</v>
      </c>
      <c r="CL18" s="145">
        <v>3.79</v>
      </c>
      <c r="CM18" s="145">
        <v>3.79</v>
      </c>
      <c r="CN18" s="145">
        <v>3.81</v>
      </c>
      <c r="CO18" s="145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5">
        <f t="shared" si="169"/>
        <v>1</v>
      </c>
      <c r="DQ18" s="145">
        <v>4.05</v>
      </c>
      <c r="DR18" s="145">
        <v>4.13</v>
      </c>
      <c r="DS18" s="145">
        <v>4.13</v>
      </c>
      <c r="DT18" s="145">
        <v>4.1500000000000004</v>
      </c>
      <c r="DU18" s="145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5">
        <f t="shared" si="170"/>
        <v>1</v>
      </c>
      <c r="EW18" s="145">
        <v>4.0599999999999996</v>
      </c>
      <c r="EX18" s="145">
        <v>4.07</v>
      </c>
      <c r="EY18" s="145">
        <v>4.07</v>
      </c>
      <c r="EZ18" s="145">
        <v>4.09</v>
      </c>
      <c r="FA18" s="145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5">
        <f t="shared" si="171"/>
        <v>1</v>
      </c>
      <c r="GC18" s="145">
        <v>10.220000000000001</v>
      </c>
      <c r="GD18" s="145">
        <v>10.42</v>
      </c>
      <c r="GE18" s="145">
        <v>10.42</v>
      </c>
      <c r="GF18" s="145">
        <v>10.46</v>
      </c>
      <c r="GG18" s="145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3">
        <v>1</v>
      </c>
      <c r="HI18" s="218">
        <v>1</v>
      </c>
      <c r="HJ18" s="229">
        <v>1</v>
      </c>
      <c r="HK18" s="229">
        <v>1</v>
      </c>
      <c r="HM18" s="373">
        <f t="shared" si="173"/>
        <v>1</v>
      </c>
      <c r="HN18" s="145">
        <v>1</v>
      </c>
    </row>
    <row r="19" spans="1:247" ht="12.75" hidden="1" customHeight="1" x14ac:dyDescent="0.2">
      <c r="A19" s="373">
        <f t="shared" si="172"/>
        <v>15</v>
      </c>
      <c r="B19" s="149" t="s">
        <v>143</v>
      </c>
      <c r="C19" s="150">
        <v>0.97</v>
      </c>
      <c r="D19" s="150">
        <v>1.018</v>
      </c>
      <c r="E19" s="150">
        <v>0.81799999999999995</v>
      </c>
      <c r="F19" s="150">
        <v>0.96</v>
      </c>
      <c r="G19" s="150"/>
      <c r="H19" s="226">
        <f ca="1">OFFSET($HH19,0,'Расчет стоимости'!$M$10,1,1)</f>
        <v>1</v>
      </c>
      <c r="I19" s="150">
        <v>1</v>
      </c>
      <c r="J19" s="150">
        <v>1</v>
      </c>
      <c r="K19" s="149">
        <v>1</v>
      </c>
      <c r="L19" s="149">
        <v>1</v>
      </c>
      <c r="M19" s="372">
        <v>2.1000000000000001E-2</v>
      </c>
      <c r="N19" s="145">
        <v>1.9E-2</v>
      </c>
      <c r="O19" s="145">
        <v>0.01</v>
      </c>
      <c r="P19" s="145">
        <v>3.2000000000000001E-2</v>
      </c>
      <c r="Q19" s="145">
        <v>0</v>
      </c>
      <c r="R19" s="152" t="s">
        <v>234</v>
      </c>
      <c r="S19" s="152"/>
      <c r="T19" s="225">
        <f t="shared" si="165"/>
        <v>1</v>
      </c>
      <c r="U19" s="225">
        <f t="shared" si="165"/>
        <v>1</v>
      </c>
      <c r="V19" s="225">
        <f t="shared" si="165"/>
        <v>1</v>
      </c>
      <c r="W19" s="225">
        <f t="shared" si="165"/>
        <v>1</v>
      </c>
      <c r="X19" s="145">
        <f t="shared" si="166"/>
        <v>1</v>
      </c>
      <c r="Y19" s="145">
        <v>5.86</v>
      </c>
      <c r="Z19" s="145">
        <v>5.98</v>
      </c>
      <c r="AA19" s="145">
        <v>5.98</v>
      </c>
      <c r="AB19" s="145">
        <v>6</v>
      </c>
      <c r="AC19" s="145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5">
        <f t="shared" si="167"/>
        <v>1</v>
      </c>
      <c r="BE19" s="145">
        <v>4.1399999999999997</v>
      </c>
      <c r="BF19" s="145">
        <v>4.22</v>
      </c>
      <c r="BG19" s="145">
        <v>4.22</v>
      </c>
      <c r="BH19" s="145">
        <v>4.24</v>
      </c>
      <c r="BI19" s="145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5">
        <f t="shared" si="168"/>
        <v>1</v>
      </c>
      <c r="CK19" s="145">
        <v>4.2699999999999996</v>
      </c>
      <c r="CL19" s="145">
        <v>4.32</v>
      </c>
      <c r="CM19" s="145">
        <v>4.32</v>
      </c>
      <c r="CN19" s="145">
        <v>4.34</v>
      </c>
      <c r="CO19" s="145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5">
        <f t="shared" si="169"/>
        <v>1</v>
      </c>
      <c r="DQ19" s="145">
        <v>4.5199999999999996</v>
      </c>
      <c r="DR19" s="145">
        <v>4.6100000000000003</v>
      </c>
      <c r="DS19" s="145">
        <v>4.6100000000000003</v>
      </c>
      <c r="DT19" s="145">
        <v>4.63</v>
      </c>
      <c r="DU19" s="145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5">
        <f t="shared" si="170"/>
        <v>1</v>
      </c>
      <c r="EW19" s="145">
        <v>4.28</v>
      </c>
      <c r="EX19" s="145">
        <v>4.32</v>
      </c>
      <c r="EY19" s="145">
        <v>4.32</v>
      </c>
      <c r="EZ19" s="145">
        <v>4.34</v>
      </c>
      <c r="FA19" s="145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5">
        <f t="shared" si="171"/>
        <v>1</v>
      </c>
      <c r="GC19" s="145">
        <v>9.9</v>
      </c>
      <c r="GD19" s="145">
        <v>10.1</v>
      </c>
      <c r="GE19" s="145">
        <v>10.1</v>
      </c>
      <c r="GF19" s="145">
        <v>10.14</v>
      </c>
      <c r="GG19" s="145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3">
        <v>1</v>
      </c>
      <c r="HI19" s="218">
        <v>1</v>
      </c>
      <c r="HJ19" s="229">
        <v>1</v>
      </c>
      <c r="HK19" s="229">
        <v>1</v>
      </c>
      <c r="HM19" s="373">
        <f t="shared" si="173"/>
        <v>5</v>
      </c>
      <c r="HN19" s="145">
        <v>1</v>
      </c>
      <c r="HO19" s="219">
        <v>1.01</v>
      </c>
      <c r="HP19" s="219">
        <v>1.0109999999999999</v>
      </c>
      <c r="HQ19" s="219">
        <v>1.012</v>
      </c>
      <c r="HR19" s="145">
        <v>1.0129999999999999</v>
      </c>
    </row>
    <row r="20" spans="1:247" ht="12.75" hidden="1" customHeight="1" x14ac:dyDescent="0.2">
      <c r="A20" s="373">
        <f t="shared" si="172"/>
        <v>16</v>
      </c>
      <c r="B20" s="149" t="s">
        <v>134</v>
      </c>
      <c r="C20" s="150">
        <v>1.073</v>
      </c>
      <c r="D20" s="150">
        <v>1.1140000000000001</v>
      </c>
      <c r="E20" s="150">
        <v>0.96699999999999997</v>
      </c>
      <c r="F20" s="150">
        <v>0.96599999999999997</v>
      </c>
      <c r="G20" s="150"/>
      <c r="H20" s="226">
        <f ca="1">OFFSET($HH20,0,'Расчет стоимости'!$M$10,1,1)</f>
        <v>1</v>
      </c>
      <c r="I20" s="150">
        <v>1</v>
      </c>
      <c r="J20" s="150">
        <v>1</v>
      </c>
      <c r="K20" s="149">
        <v>1</v>
      </c>
      <c r="L20" s="149">
        <v>1</v>
      </c>
      <c r="M20" s="372">
        <v>2.1000000000000001E-2</v>
      </c>
      <c r="N20" s="145">
        <v>1.9E-2</v>
      </c>
      <c r="O20" s="145">
        <v>0.01</v>
      </c>
      <c r="P20" s="145">
        <v>3.2000000000000001E-2</v>
      </c>
      <c r="Q20" s="145">
        <v>0</v>
      </c>
      <c r="R20" s="152" t="s">
        <v>234</v>
      </c>
      <c r="S20" s="152"/>
      <c r="T20" s="225">
        <f t="shared" si="165"/>
        <v>1.0169999999999999</v>
      </c>
      <c r="U20" s="225">
        <f t="shared" si="165"/>
        <v>1.0169999999999999</v>
      </c>
      <c r="V20" s="225">
        <f t="shared" si="165"/>
        <v>1.0169999999999999</v>
      </c>
      <c r="W20" s="225">
        <f t="shared" si="165"/>
        <v>1.0169999999999999</v>
      </c>
      <c r="X20" s="145">
        <f t="shared" si="166"/>
        <v>1</v>
      </c>
      <c r="Y20" s="145">
        <v>5.92</v>
      </c>
      <c r="Z20" s="145">
        <v>5.8</v>
      </c>
      <c r="AA20" s="145">
        <v>5.8</v>
      </c>
      <c r="AB20" s="145">
        <v>5.82</v>
      </c>
      <c r="AC20" s="145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5">
        <f t="shared" si="167"/>
        <v>1</v>
      </c>
      <c r="BE20" s="145">
        <v>3.85</v>
      </c>
      <c r="BF20" s="145">
        <v>3.26</v>
      </c>
      <c r="BG20" s="145">
        <v>3.26</v>
      </c>
      <c r="BH20" s="145">
        <v>3.27</v>
      </c>
      <c r="BI20" s="145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5">
        <f t="shared" si="168"/>
        <v>1</v>
      </c>
      <c r="CK20" s="145">
        <v>3.61</v>
      </c>
      <c r="CL20" s="145">
        <v>3.27</v>
      </c>
      <c r="CM20" s="145">
        <v>3.27</v>
      </c>
      <c r="CN20" s="145">
        <v>3.28</v>
      </c>
      <c r="CO20" s="145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5">
        <f t="shared" si="169"/>
        <v>1</v>
      </c>
      <c r="DQ20" s="145">
        <v>4.72</v>
      </c>
      <c r="DR20" s="145">
        <v>4.24</v>
      </c>
      <c r="DS20" s="145">
        <v>4.24</v>
      </c>
      <c r="DT20" s="145">
        <v>4.26</v>
      </c>
      <c r="DU20" s="145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5">
        <f t="shared" si="170"/>
        <v>1</v>
      </c>
      <c r="EW20" s="145">
        <v>3.98</v>
      </c>
      <c r="EX20" s="145">
        <v>4.0199999999999996</v>
      </c>
      <c r="EY20" s="145">
        <v>4.0199999999999996</v>
      </c>
      <c r="EZ20" s="145">
        <v>4.04</v>
      </c>
      <c r="FA20" s="145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5">
        <f t="shared" si="171"/>
        <v>1</v>
      </c>
      <c r="GC20" s="145">
        <v>11.41</v>
      </c>
      <c r="GD20" s="145">
        <v>11.64</v>
      </c>
      <c r="GE20" s="145">
        <v>11.64</v>
      </c>
      <c r="GF20" s="145">
        <v>11.69</v>
      </c>
      <c r="GG20" s="145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3">
        <v>1</v>
      </c>
      <c r="HI20" s="218">
        <v>1</v>
      </c>
      <c r="HJ20" s="229">
        <v>1</v>
      </c>
      <c r="HK20" s="229">
        <v>1</v>
      </c>
      <c r="HM20" s="373">
        <f t="shared" si="173"/>
        <v>5</v>
      </c>
      <c r="HN20" s="145">
        <v>1.0169999999999999</v>
      </c>
      <c r="HO20" s="145">
        <v>1.0049999999999999</v>
      </c>
      <c r="HP20" s="145">
        <v>1.012</v>
      </c>
      <c r="HQ20" s="145">
        <v>1.024</v>
      </c>
      <c r="HR20" s="145">
        <v>1.054</v>
      </c>
    </row>
    <row r="21" spans="1:247" ht="12.75" hidden="1" customHeight="1" x14ac:dyDescent="0.2">
      <c r="A21" s="373">
        <f t="shared" si="172"/>
        <v>17</v>
      </c>
      <c r="B21" s="149" t="s">
        <v>293</v>
      </c>
      <c r="C21" s="150">
        <v>0.997</v>
      </c>
      <c r="D21" s="150">
        <v>1.024</v>
      </c>
      <c r="E21" s="150">
        <v>0.93600000000000005</v>
      </c>
      <c r="F21" s="150">
        <v>0.89700000000000002</v>
      </c>
      <c r="G21" s="150"/>
      <c r="H21" s="226">
        <f ca="1">OFFSET($HH21,0,'Расчет стоимости'!$M$10,1,1)</f>
        <v>1</v>
      </c>
      <c r="I21" s="150">
        <v>1</v>
      </c>
      <c r="J21" s="150">
        <v>1</v>
      </c>
      <c r="K21" s="149">
        <v>1</v>
      </c>
      <c r="L21" s="149">
        <v>1</v>
      </c>
      <c r="M21" s="372">
        <v>2.1000000000000001E-2</v>
      </c>
      <c r="N21" s="145">
        <v>1.9E-2</v>
      </c>
      <c r="O21" s="145">
        <v>0.01</v>
      </c>
      <c r="P21" s="145">
        <v>3.2000000000000001E-2</v>
      </c>
      <c r="Q21" s="145">
        <v>0</v>
      </c>
      <c r="R21" s="152" t="s">
        <v>234</v>
      </c>
      <c r="S21" s="152"/>
      <c r="T21" s="225">
        <f t="shared" si="165"/>
        <v>1</v>
      </c>
      <c r="U21" s="225">
        <f t="shared" si="165"/>
        <v>1</v>
      </c>
      <c r="V21" s="225">
        <f t="shared" si="165"/>
        <v>1</v>
      </c>
      <c r="W21" s="225">
        <f t="shared" si="165"/>
        <v>1</v>
      </c>
      <c r="X21" s="145">
        <f t="shared" si="166"/>
        <v>1</v>
      </c>
      <c r="Y21" s="145">
        <v>5.79</v>
      </c>
      <c r="Z21" s="145">
        <v>5.91</v>
      </c>
      <c r="AA21" s="145">
        <v>5.91</v>
      </c>
      <c r="AB21" s="145">
        <v>5.93</v>
      </c>
      <c r="AC21" s="145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5">
        <f t="shared" si="167"/>
        <v>1</v>
      </c>
      <c r="BE21" s="145">
        <v>4.55</v>
      </c>
      <c r="BF21" s="145">
        <v>3.91</v>
      </c>
      <c r="BG21" s="145">
        <v>3.91</v>
      </c>
      <c r="BH21" s="145">
        <v>3.93</v>
      </c>
      <c r="BI21" s="145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5">
        <f t="shared" si="168"/>
        <v>1</v>
      </c>
      <c r="CK21" s="145">
        <v>3.94</v>
      </c>
      <c r="CL21" s="145">
        <v>3.94</v>
      </c>
      <c r="CM21" s="145">
        <v>3.94</v>
      </c>
      <c r="CN21" s="145">
        <v>3.96</v>
      </c>
      <c r="CO21" s="145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5">
        <f t="shared" si="169"/>
        <v>1</v>
      </c>
      <c r="DQ21" s="145">
        <v>4.62</v>
      </c>
      <c r="DR21" s="145">
        <v>4.38</v>
      </c>
      <c r="DS21" s="145">
        <v>4.38</v>
      </c>
      <c r="DT21" s="145">
        <v>4.4000000000000004</v>
      </c>
      <c r="DU21" s="145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5">
        <f t="shared" si="170"/>
        <v>1</v>
      </c>
      <c r="EW21" s="145">
        <v>3.88</v>
      </c>
      <c r="EX21" s="145">
        <v>3.96</v>
      </c>
      <c r="EY21" s="145">
        <v>3.96</v>
      </c>
      <c r="EZ21" s="145">
        <v>3.98</v>
      </c>
      <c r="FA21" s="145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5">
        <f t="shared" si="171"/>
        <v>1</v>
      </c>
      <c r="GC21" s="145">
        <v>9.93</v>
      </c>
      <c r="GD21" s="145">
        <v>10.130000000000001</v>
      </c>
      <c r="GE21" s="145">
        <v>10.130000000000001</v>
      </c>
      <c r="GF21" s="145">
        <v>10.17</v>
      </c>
      <c r="GG21" s="145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3">
        <v>1</v>
      </c>
      <c r="HI21" s="218">
        <v>1</v>
      </c>
      <c r="HJ21" s="229">
        <v>1</v>
      </c>
      <c r="HK21" s="229">
        <v>1</v>
      </c>
      <c r="HM21" s="373">
        <f t="shared" si="173"/>
        <v>1</v>
      </c>
      <c r="HN21" s="145">
        <v>1</v>
      </c>
    </row>
    <row r="22" spans="1:247" ht="12.75" hidden="1" customHeight="1" x14ac:dyDescent="0.2">
      <c r="A22" s="373">
        <f t="shared" si="172"/>
        <v>18</v>
      </c>
      <c r="B22" s="149" t="s">
        <v>135</v>
      </c>
      <c r="C22" s="150">
        <v>1.04</v>
      </c>
      <c r="D22" s="150">
        <v>1.05</v>
      </c>
      <c r="E22" s="150">
        <v>1</v>
      </c>
      <c r="F22" s="150">
        <v>1</v>
      </c>
      <c r="G22" s="150"/>
      <c r="H22" s="226">
        <f ca="1">OFFSET($HH22,0,'Расчет стоимости'!$M$10,1,1)</f>
        <v>1</v>
      </c>
      <c r="I22" s="150">
        <v>1</v>
      </c>
      <c r="J22" s="150">
        <v>1</v>
      </c>
      <c r="K22" s="149">
        <v>1</v>
      </c>
      <c r="L22" s="149">
        <v>1</v>
      </c>
      <c r="M22" s="372">
        <v>2.1000000000000001E-2</v>
      </c>
      <c r="N22" s="145">
        <v>1.9E-2</v>
      </c>
      <c r="O22" s="145">
        <v>0.01</v>
      </c>
      <c r="P22" s="145">
        <v>3.2000000000000001E-2</v>
      </c>
      <c r="Q22" s="145">
        <v>0</v>
      </c>
      <c r="R22" s="152" t="s">
        <v>234</v>
      </c>
      <c r="S22" s="152"/>
      <c r="T22" s="225">
        <f t="shared" si="165"/>
        <v>1</v>
      </c>
      <c r="U22" s="225">
        <f t="shared" si="165"/>
        <v>1</v>
      </c>
      <c r="V22" s="225">
        <f t="shared" si="165"/>
        <v>1</v>
      </c>
      <c r="W22" s="225">
        <f t="shared" si="165"/>
        <v>1</v>
      </c>
      <c r="X22" s="145">
        <f t="shared" si="166"/>
        <v>1</v>
      </c>
      <c r="Y22" s="145">
        <v>5.26</v>
      </c>
      <c r="Z22" s="145">
        <v>5.36</v>
      </c>
      <c r="AA22" s="145">
        <v>5.36</v>
      </c>
      <c r="AB22" s="145">
        <v>5.38</v>
      </c>
      <c r="AC22" s="145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5">
        <f t="shared" si="167"/>
        <v>1</v>
      </c>
      <c r="BE22" s="145">
        <v>3.7</v>
      </c>
      <c r="BF22" s="145">
        <v>3.78</v>
      </c>
      <c r="BG22" s="145">
        <v>3.78</v>
      </c>
      <c r="BH22" s="145">
        <v>3.8</v>
      </c>
      <c r="BI22" s="145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5">
        <f t="shared" si="168"/>
        <v>1</v>
      </c>
      <c r="CK22" s="145">
        <v>3.94</v>
      </c>
      <c r="CL22" s="145">
        <v>4.0199999999999996</v>
      </c>
      <c r="CM22" s="145">
        <v>4.0199999999999996</v>
      </c>
      <c r="CN22" s="145">
        <v>4.04</v>
      </c>
      <c r="CO22" s="145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5">
        <f t="shared" si="169"/>
        <v>1</v>
      </c>
      <c r="DQ22" s="145">
        <v>4.17</v>
      </c>
      <c r="DR22" s="145">
        <v>4.25</v>
      </c>
      <c r="DS22" s="145">
        <v>4.25</v>
      </c>
      <c r="DT22" s="145">
        <v>4.2699999999999996</v>
      </c>
      <c r="DU22" s="145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5">
        <f t="shared" si="170"/>
        <v>1</v>
      </c>
      <c r="EW22" s="145">
        <v>4.22</v>
      </c>
      <c r="EX22" s="145">
        <v>4.3</v>
      </c>
      <c r="EY22" s="145">
        <v>4.3</v>
      </c>
      <c r="EZ22" s="145">
        <v>4.32</v>
      </c>
      <c r="FA22" s="145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5">
        <f t="shared" si="171"/>
        <v>1</v>
      </c>
      <c r="GC22" s="145">
        <v>10.61</v>
      </c>
      <c r="GD22" s="145">
        <v>10.83</v>
      </c>
      <c r="GE22" s="145">
        <v>10.83</v>
      </c>
      <c r="GF22" s="145">
        <v>10.87</v>
      </c>
      <c r="GG22" s="145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3">
        <v>1</v>
      </c>
      <c r="HI22" s="218">
        <v>1</v>
      </c>
      <c r="HJ22" s="229">
        <v>1</v>
      </c>
      <c r="HK22" s="229">
        <v>1</v>
      </c>
      <c r="HM22" s="373">
        <f t="shared" si="173"/>
        <v>1</v>
      </c>
      <c r="HN22" s="145">
        <v>1</v>
      </c>
    </row>
    <row r="23" spans="1:247" ht="12.75" hidden="1" customHeight="1" x14ac:dyDescent="0.2">
      <c r="A23" s="373">
        <f t="shared" si="172"/>
        <v>19</v>
      </c>
      <c r="B23" s="149" t="s">
        <v>179</v>
      </c>
      <c r="C23" s="150">
        <v>0.94599999999999995</v>
      </c>
      <c r="D23" s="150"/>
      <c r="E23" s="150"/>
      <c r="F23" s="150"/>
      <c r="G23" s="150"/>
      <c r="H23" s="226">
        <f ca="1">OFFSET($HH23,0,'Расчет стоимости'!$M$10,1,1)</f>
        <v>1</v>
      </c>
      <c r="I23" s="150">
        <v>1</v>
      </c>
      <c r="J23" s="150">
        <v>1</v>
      </c>
      <c r="K23" s="149">
        <v>1</v>
      </c>
      <c r="L23" s="149">
        <v>1</v>
      </c>
      <c r="M23" s="372">
        <v>2.1000000000000001E-2</v>
      </c>
      <c r="N23" s="145">
        <v>1.9E-2</v>
      </c>
      <c r="O23" s="145">
        <v>0.01</v>
      </c>
      <c r="P23" s="145">
        <v>3.2000000000000001E-2</v>
      </c>
      <c r="Q23" s="145">
        <v>0</v>
      </c>
      <c r="R23" s="152" t="s">
        <v>234</v>
      </c>
      <c r="S23" s="152"/>
      <c r="T23" s="225">
        <f t="shared" si="165"/>
        <v>1</v>
      </c>
      <c r="U23" s="225">
        <f t="shared" si="165"/>
        <v>1</v>
      </c>
      <c r="V23" s="225">
        <f t="shared" si="165"/>
        <v>1</v>
      </c>
      <c r="W23" s="225">
        <f t="shared" si="165"/>
        <v>1</v>
      </c>
      <c r="X23" s="145">
        <f t="shared" si="166"/>
        <v>1</v>
      </c>
      <c r="Y23" s="145">
        <v>6.61</v>
      </c>
      <c r="Z23" s="145">
        <v>6.75</v>
      </c>
      <c r="AA23" s="145">
        <v>6.4</v>
      </c>
      <c r="AB23" s="145">
        <v>6.43</v>
      </c>
      <c r="AC23" s="145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5">
        <f t="shared" si="167"/>
        <v>1</v>
      </c>
      <c r="BE23" s="145">
        <v>3.83</v>
      </c>
      <c r="BF23" s="145">
        <v>3.8</v>
      </c>
      <c r="BG23" s="145">
        <v>3.51</v>
      </c>
      <c r="BH23" s="145">
        <v>3.52</v>
      </c>
      <c r="BI23" s="145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5">
        <f t="shared" si="168"/>
        <v>1</v>
      </c>
      <c r="CK23" s="145">
        <v>3.82</v>
      </c>
      <c r="CL23" s="145">
        <v>3.79</v>
      </c>
      <c r="CM23" s="145">
        <v>3.79</v>
      </c>
      <c r="CN23" s="145">
        <v>3.81</v>
      </c>
      <c r="CO23" s="145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5">
        <f t="shared" si="169"/>
        <v>1</v>
      </c>
      <c r="DQ23" s="145">
        <v>5.44</v>
      </c>
      <c r="DR23" s="145">
        <v>5.4</v>
      </c>
      <c r="DS23" s="145">
        <v>5.4</v>
      </c>
      <c r="DT23" s="145">
        <v>5.42</v>
      </c>
      <c r="DU23" s="145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5">
        <f t="shared" si="170"/>
        <v>1</v>
      </c>
      <c r="EW23" s="145">
        <v>4.71</v>
      </c>
      <c r="EX23" s="145">
        <v>4.7</v>
      </c>
      <c r="EY23" s="145">
        <v>4.7</v>
      </c>
      <c r="EZ23" s="145">
        <v>4.72</v>
      </c>
      <c r="FA23" s="145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5">
        <f t="shared" si="171"/>
        <v>1</v>
      </c>
      <c r="GC23" s="145">
        <v>16.71</v>
      </c>
      <c r="GD23" s="145">
        <v>16.88</v>
      </c>
      <c r="GE23" s="145">
        <v>16.52</v>
      </c>
      <c r="GF23" s="145">
        <v>16.59</v>
      </c>
      <c r="GG23" s="145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3">
        <v>1</v>
      </c>
      <c r="HI23" s="218">
        <v>1</v>
      </c>
      <c r="HJ23" s="229">
        <v>1</v>
      </c>
      <c r="HK23" s="229">
        <v>1</v>
      </c>
      <c r="HM23" s="373">
        <f t="shared" si="173"/>
        <v>1</v>
      </c>
      <c r="HN23" s="145">
        <v>1</v>
      </c>
    </row>
    <row r="24" spans="1:247" s="336" customFormat="1" x14ac:dyDescent="0.2">
      <c r="A24" s="331">
        <f t="shared" si="172"/>
        <v>20</v>
      </c>
      <c r="B24" s="332" t="s">
        <v>1316</v>
      </c>
      <c r="C24" s="333">
        <v>1.2529999999999999</v>
      </c>
      <c r="D24" s="333">
        <v>1.2689999999999999</v>
      </c>
      <c r="E24" s="333">
        <v>1.1879999999999999</v>
      </c>
      <c r="F24" s="333">
        <v>1.2909999999999999</v>
      </c>
      <c r="G24" s="333"/>
      <c r="H24" s="334">
        <f ca="1">OFFSET($HH24,0,'Расчет стоимости'!$M$10,1,1)</f>
        <v>1.0900000000000001</v>
      </c>
      <c r="I24" s="333">
        <v>1</v>
      </c>
      <c r="J24" s="333">
        <v>1</v>
      </c>
      <c r="K24" s="332">
        <v>1</v>
      </c>
      <c r="L24" s="332">
        <v>1</v>
      </c>
      <c r="M24" s="335">
        <v>2.1000000000000001E-2</v>
      </c>
      <c r="N24" s="336">
        <v>1.9E-2</v>
      </c>
      <c r="O24" s="336">
        <v>0.01</v>
      </c>
      <c r="P24" s="336">
        <v>3.2000000000000001E-2</v>
      </c>
      <c r="Q24" s="336">
        <v>0</v>
      </c>
      <c r="R24" s="337" t="s">
        <v>234</v>
      </c>
      <c r="S24" s="336" t="s">
        <v>265</v>
      </c>
      <c r="T24" s="337">
        <f t="shared" si="165"/>
        <v>1</v>
      </c>
      <c r="U24" s="337">
        <f t="shared" si="165"/>
        <v>1</v>
      </c>
      <c r="V24" s="337">
        <f t="shared" si="165"/>
        <v>1</v>
      </c>
      <c r="W24" s="337">
        <f t="shared" si="165"/>
        <v>1</v>
      </c>
      <c r="X24" s="336">
        <f>HLOOKUP($X$4,Y$5:BB$91,$A24,FALSE)</f>
        <v>1</v>
      </c>
      <c r="Y24" s="336">
        <v>5.33</v>
      </c>
      <c r="Z24" s="336">
        <v>5.46</v>
      </c>
      <c r="AA24" s="336">
        <v>5.46</v>
      </c>
      <c r="AB24" s="336">
        <v>5.48</v>
      </c>
      <c r="AC24" s="336">
        <v>5.6</v>
      </c>
      <c r="AD24" s="336">
        <v>5.58</v>
      </c>
      <c r="AE24" s="336">
        <v>5.61</v>
      </c>
      <c r="AF24" s="336">
        <v>5.61</v>
      </c>
      <c r="AG24" s="336">
        <v>5.81</v>
      </c>
      <c r="AH24" s="336">
        <v>5.91</v>
      </c>
      <c r="AI24" s="336">
        <v>5.95</v>
      </c>
      <c r="AJ24" s="336">
        <v>5.95</v>
      </c>
      <c r="AK24" s="336">
        <v>6.05</v>
      </c>
      <c r="AL24" s="336">
        <v>6.13</v>
      </c>
      <c r="AM24" s="336">
        <v>6.13</v>
      </c>
      <c r="AN24" s="338">
        <v>6.17</v>
      </c>
      <c r="AO24" s="338">
        <v>1</v>
      </c>
      <c r="AP24" s="338">
        <v>1</v>
      </c>
      <c r="AQ24" s="338">
        <v>1</v>
      </c>
      <c r="AR24" s="338">
        <v>1</v>
      </c>
      <c r="AS24" s="338">
        <v>1</v>
      </c>
      <c r="AT24" s="338">
        <v>1</v>
      </c>
      <c r="AU24" s="338">
        <v>1</v>
      </c>
      <c r="AV24" s="338">
        <v>1</v>
      </c>
      <c r="AW24" s="338">
        <v>1</v>
      </c>
      <c r="AX24" s="338">
        <v>1</v>
      </c>
      <c r="AY24" s="338">
        <v>1</v>
      </c>
      <c r="AZ24" s="338">
        <v>1</v>
      </c>
      <c r="BA24" s="338">
        <v>1</v>
      </c>
      <c r="BB24" s="338">
        <v>1</v>
      </c>
      <c r="BD24" s="336">
        <f t="shared" si="167"/>
        <v>1</v>
      </c>
      <c r="BE24" s="336">
        <v>4.07</v>
      </c>
      <c r="BF24" s="336">
        <v>4.17</v>
      </c>
      <c r="BG24" s="336">
        <v>4.17</v>
      </c>
      <c r="BH24" s="336">
        <v>4.1900000000000004</v>
      </c>
      <c r="BI24" s="336">
        <v>4.28</v>
      </c>
      <c r="BJ24" s="336">
        <v>4.26</v>
      </c>
      <c r="BK24" s="336">
        <v>4.28</v>
      </c>
      <c r="BL24" s="336">
        <v>4.28</v>
      </c>
      <c r="BM24" s="336">
        <v>4.37</v>
      </c>
      <c r="BN24" s="336">
        <v>4.3899999999999997</v>
      </c>
      <c r="BO24" s="336">
        <v>4.41</v>
      </c>
      <c r="BP24" s="336">
        <v>4.41</v>
      </c>
      <c r="BQ24" s="336">
        <v>4.4800000000000004</v>
      </c>
      <c r="BR24" s="336">
        <v>4.54</v>
      </c>
      <c r="BS24" s="336">
        <v>4.54</v>
      </c>
      <c r="BT24" s="338">
        <v>4.57</v>
      </c>
      <c r="BU24" s="338">
        <v>1</v>
      </c>
      <c r="BV24" s="338">
        <v>1</v>
      </c>
      <c r="BW24" s="338">
        <v>1</v>
      </c>
      <c r="BX24" s="338">
        <v>1</v>
      </c>
      <c r="BY24" s="338">
        <v>1</v>
      </c>
      <c r="BZ24" s="338">
        <v>1</v>
      </c>
      <c r="CA24" s="338">
        <v>1</v>
      </c>
      <c r="CB24" s="338">
        <v>1</v>
      </c>
      <c r="CC24" s="338">
        <v>1</v>
      </c>
      <c r="CD24" s="338">
        <v>1</v>
      </c>
      <c r="CE24" s="338">
        <v>1</v>
      </c>
      <c r="CF24" s="338">
        <v>1</v>
      </c>
      <c r="CG24" s="338">
        <v>1</v>
      </c>
      <c r="CH24" s="338">
        <v>1</v>
      </c>
      <c r="CJ24" s="336">
        <f t="shared" si="168"/>
        <v>1</v>
      </c>
      <c r="CK24" s="336">
        <v>5.32</v>
      </c>
      <c r="CL24" s="336">
        <v>5.41</v>
      </c>
      <c r="CM24" s="336">
        <v>5.41</v>
      </c>
      <c r="CN24" s="336">
        <v>5.42</v>
      </c>
      <c r="CO24" s="336">
        <v>5.27</v>
      </c>
      <c r="CP24" s="336">
        <v>5.13</v>
      </c>
      <c r="CQ24" s="338">
        <v>1</v>
      </c>
      <c r="CR24" s="338">
        <v>1</v>
      </c>
      <c r="CS24" s="338">
        <v>1</v>
      </c>
      <c r="CT24" s="338">
        <v>1</v>
      </c>
      <c r="CU24" s="338">
        <v>1</v>
      </c>
      <c r="CV24" s="338">
        <v>1</v>
      </c>
      <c r="CW24" s="338">
        <v>1</v>
      </c>
      <c r="CX24" s="338">
        <v>1</v>
      </c>
      <c r="CY24" s="338">
        <v>1</v>
      </c>
      <c r="CZ24" s="338">
        <v>1</v>
      </c>
      <c r="DA24" s="338">
        <v>1</v>
      </c>
      <c r="DB24" s="338">
        <v>1</v>
      </c>
      <c r="DC24" s="338">
        <v>1</v>
      </c>
      <c r="DD24" s="338">
        <v>1</v>
      </c>
      <c r="DE24" s="338">
        <v>1</v>
      </c>
      <c r="DF24" s="338">
        <v>1</v>
      </c>
      <c r="DG24" s="338">
        <v>1</v>
      </c>
      <c r="DH24" s="338">
        <v>1</v>
      </c>
      <c r="DI24" s="338">
        <v>1</v>
      </c>
      <c r="DJ24" s="338">
        <v>1</v>
      </c>
      <c r="DK24" s="338">
        <v>1</v>
      </c>
      <c r="DL24" s="338">
        <v>1</v>
      </c>
      <c r="DM24" s="338">
        <v>1</v>
      </c>
      <c r="DN24" s="338">
        <v>1</v>
      </c>
      <c r="DP24" s="336">
        <f t="shared" si="169"/>
        <v>1</v>
      </c>
      <c r="DQ24" s="336">
        <v>4.03</v>
      </c>
      <c r="DR24" s="336">
        <v>4.13</v>
      </c>
      <c r="DS24" s="336">
        <v>4.13</v>
      </c>
      <c r="DT24" s="336">
        <v>4.1500000000000004</v>
      </c>
      <c r="DU24" s="336">
        <v>4.24</v>
      </c>
      <c r="DV24" s="336">
        <v>4.22</v>
      </c>
      <c r="DW24" s="336">
        <v>4.24</v>
      </c>
      <c r="DX24" s="336">
        <v>4.24</v>
      </c>
      <c r="DY24" s="336">
        <v>4.3899999999999997</v>
      </c>
      <c r="DZ24" s="336">
        <v>4.47</v>
      </c>
      <c r="EA24" s="336">
        <v>4.5</v>
      </c>
      <c r="EB24" s="336">
        <v>4.5</v>
      </c>
      <c r="EC24" s="336">
        <v>4.57</v>
      </c>
      <c r="ED24" s="336">
        <v>4.63</v>
      </c>
      <c r="EE24" s="336">
        <v>4.63</v>
      </c>
      <c r="EF24" s="338">
        <v>4.66</v>
      </c>
      <c r="EG24" s="338">
        <v>1</v>
      </c>
      <c r="EH24" s="338">
        <v>1</v>
      </c>
      <c r="EI24" s="338">
        <v>1</v>
      </c>
      <c r="EJ24" s="338">
        <v>1</v>
      </c>
      <c r="EK24" s="338">
        <v>1</v>
      </c>
      <c r="EL24" s="338">
        <v>1</v>
      </c>
      <c r="EM24" s="338">
        <v>1</v>
      </c>
      <c r="EN24" s="338">
        <v>1</v>
      </c>
      <c r="EO24" s="338">
        <v>1</v>
      </c>
      <c r="EP24" s="338">
        <v>1</v>
      </c>
      <c r="EQ24" s="338">
        <v>1</v>
      </c>
      <c r="ER24" s="338">
        <v>1</v>
      </c>
      <c r="ES24" s="338">
        <v>1</v>
      </c>
      <c r="ET24" s="338">
        <v>1</v>
      </c>
      <c r="EV24" s="336">
        <f t="shared" si="170"/>
        <v>1</v>
      </c>
      <c r="EW24" s="336">
        <v>5.45</v>
      </c>
      <c r="EX24" s="336">
        <v>5.58</v>
      </c>
      <c r="EY24" s="336">
        <v>5.58</v>
      </c>
      <c r="EZ24" s="336">
        <v>5.59</v>
      </c>
      <c r="FA24" s="336">
        <v>5.48</v>
      </c>
      <c r="FB24" s="336">
        <v>5.38</v>
      </c>
      <c r="FC24" s="338">
        <v>1</v>
      </c>
      <c r="FD24" s="338">
        <v>1</v>
      </c>
      <c r="FE24" s="338">
        <v>1</v>
      </c>
      <c r="FF24" s="338">
        <v>1</v>
      </c>
      <c r="FG24" s="338">
        <v>1</v>
      </c>
      <c r="FH24" s="338">
        <v>1</v>
      </c>
      <c r="FI24" s="338">
        <v>1</v>
      </c>
      <c r="FJ24" s="338">
        <v>1</v>
      </c>
      <c r="FK24" s="338">
        <v>1</v>
      </c>
      <c r="FL24" s="338">
        <v>1</v>
      </c>
      <c r="FM24" s="338">
        <v>1</v>
      </c>
      <c r="FN24" s="338">
        <v>1</v>
      </c>
      <c r="FO24" s="338">
        <v>1</v>
      </c>
      <c r="FP24" s="338">
        <v>1</v>
      </c>
      <c r="FQ24" s="338">
        <v>1</v>
      </c>
      <c r="FR24" s="338">
        <v>1</v>
      </c>
      <c r="FS24" s="338">
        <v>1</v>
      </c>
      <c r="FT24" s="338">
        <v>1</v>
      </c>
      <c r="FU24" s="338">
        <v>1</v>
      </c>
      <c r="FV24" s="338">
        <v>1</v>
      </c>
      <c r="FW24" s="338">
        <v>1</v>
      </c>
      <c r="FX24" s="338">
        <v>1</v>
      </c>
      <c r="FY24" s="338">
        <v>1</v>
      </c>
      <c r="FZ24" s="338">
        <v>1</v>
      </c>
      <c r="GB24" s="336">
        <f t="shared" si="171"/>
        <v>1</v>
      </c>
      <c r="GC24" s="336">
        <v>9.0299999999999994</v>
      </c>
      <c r="GD24" s="336">
        <v>9.26</v>
      </c>
      <c r="GE24" s="336">
        <v>9.26</v>
      </c>
      <c r="GF24" s="336">
        <v>9.3000000000000007</v>
      </c>
      <c r="GG24" s="336">
        <v>9.5</v>
      </c>
      <c r="GH24" s="336">
        <v>9.4600000000000009</v>
      </c>
      <c r="GI24" s="336">
        <v>9.51</v>
      </c>
      <c r="GJ24" s="336">
        <v>9.51</v>
      </c>
      <c r="GK24" s="336">
        <v>9.84</v>
      </c>
      <c r="GL24" s="336">
        <v>10.02</v>
      </c>
      <c r="GM24" s="336">
        <v>10.09</v>
      </c>
      <c r="GN24" s="336">
        <v>10.09</v>
      </c>
      <c r="GO24" s="336">
        <v>10.25</v>
      </c>
      <c r="GP24" s="336">
        <v>10.39</v>
      </c>
      <c r="GQ24" s="336">
        <v>10.39</v>
      </c>
      <c r="GR24" s="338">
        <v>10.45</v>
      </c>
      <c r="GS24" s="338">
        <v>1</v>
      </c>
      <c r="GT24" s="338">
        <v>1</v>
      </c>
      <c r="GU24" s="338">
        <v>1</v>
      </c>
      <c r="GV24" s="338">
        <v>1</v>
      </c>
      <c r="GW24" s="338">
        <v>1</v>
      </c>
      <c r="GX24" s="338">
        <v>1</v>
      </c>
      <c r="GY24" s="338">
        <v>1</v>
      </c>
      <c r="GZ24" s="338">
        <v>1</v>
      </c>
      <c r="HA24" s="338">
        <v>1</v>
      </c>
      <c r="HB24" s="338">
        <v>1</v>
      </c>
      <c r="HC24" s="338">
        <v>1</v>
      </c>
      <c r="HD24" s="338">
        <v>1</v>
      </c>
      <c r="HE24" s="338">
        <v>1</v>
      </c>
      <c r="HF24" s="338">
        <v>1</v>
      </c>
      <c r="HH24" s="331">
        <v>2</v>
      </c>
      <c r="HI24" s="339">
        <v>1.0900000000000001</v>
      </c>
      <c r="HJ24" s="335">
        <v>1.1200000000000001</v>
      </c>
      <c r="HK24" s="335">
        <v>1.1200000000000001</v>
      </c>
      <c r="HM24" s="331">
        <f t="shared" si="173"/>
        <v>18</v>
      </c>
      <c r="HN24" s="336">
        <v>1</v>
      </c>
      <c r="HO24" s="358">
        <v>1.0069999999999999</v>
      </c>
      <c r="HP24" s="358">
        <v>1.0089999999999999</v>
      </c>
      <c r="HQ24" s="358">
        <v>1.0149999999999999</v>
      </c>
      <c r="HR24" s="358">
        <v>1.024</v>
      </c>
      <c r="HS24" s="358">
        <v>1.026</v>
      </c>
      <c r="HT24" s="358">
        <v>1.0620000000000001</v>
      </c>
      <c r="HU24" s="358">
        <v>1.0369999999999999</v>
      </c>
      <c r="HV24" s="358">
        <v>1.0449999999999999</v>
      </c>
      <c r="HW24" s="358">
        <v>1.081</v>
      </c>
      <c r="HX24" s="358">
        <v>1.054</v>
      </c>
      <c r="HY24" s="358">
        <v>1.0920000000000001</v>
      </c>
      <c r="HZ24" s="358">
        <v>1.2</v>
      </c>
      <c r="IA24" s="358">
        <v>1.103</v>
      </c>
      <c r="IB24" s="358">
        <v>1.2070000000000001</v>
      </c>
      <c r="IC24" s="358">
        <v>1.22</v>
      </c>
      <c r="ID24" s="358">
        <v>1.2310000000000001</v>
      </c>
      <c r="IE24" s="358">
        <v>1.2330000000000001</v>
      </c>
    </row>
    <row r="25" spans="1:247" s="305" customFormat="1" ht="12.75" customHeight="1" x14ac:dyDescent="0.2">
      <c r="A25" s="300">
        <f t="shared" si="172"/>
        <v>21</v>
      </c>
      <c r="B25" s="301" t="s">
        <v>1317</v>
      </c>
      <c r="C25" s="302">
        <v>1.2370000000000001</v>
      </c>
      <c r="D25" s="302">
        <v>1.29</v>
      </c>
      <c r="E25" s="302">
        <v>1.0720000000000001</v>
      </c>
      <c r="F25" s="302">
        <v>1.169</v>
      </c>
      <c r="G25" s="302"/>
      <c r="H25" s="303">
        <f ca="1">OFFSET($HH25,0,'Расчет стоимости'!$M$10,1,1)</f>
        <v>1.0900000000000001</v>
      </c>
      <c r="I25" s="302">
        <v>1</v>
      </c>
      <c r="J25" s="302">
        <v>1</v>
      </c>
      <c r="K25" s="301">
        <v>1</v>
      </c>
      <c r="L25" s="301">
        <v>1</v>
      </c>
      <c r="M25" s="304">
        <v>3.2000000000000001E-2</v>
      </c>
      <c r="N25" s="305">
        <v>2.8999999999999998E-2</v>
      </c>
      <c r="O25" s="305">
        <v>1.3000000000000001E-2</v>
      </c>
      <c r="P25" s="305">
        <v>0.04</v>
      </c>
      <c r="Q25" s="305">
        <v>3.0000000000000001E-3</v>
      </c>
      <c r="R25" s="306" t="s">
        <v>236</v>
      </c>
      <c r="S25" s="305" t="s">
        <v>265</v>
      </c>
      <c r="T25" s="306">
        <f t="shared" si="165"/>
        <v>1</v>
      </c>
      <c r="U25" s="306">
        <f t="shared" si="165"/>
        <v>1</v>
      </c>
      <c r="V25" s="306">
        <f t="shared" si="165"/>
        <v>1</v>
      </c>
      <c r="W25" s="306">
        <f t="shared" si="165"/>
        <v>1</v>
      </c>
      <c r="X25" s="305">
        <f t="shared" si="166"/>
        <v>1</v>
      </c>
      <c r="Y25" s="305">
        <v>6.35</v>
      </c>
      <c r="Z25" s="305">
        <v>6.42</v>
      </c>
      <c r="AA25" s="305">
        <v>6.42</v>
      </c>
      <c r="AB25" s="305">
        <v>6.45</v>
      </c>
      <c r="AC25" s="305">
        <v>6.59</v>
      </c>
      <c r="AD25" s="305">
        <v>6.56</v>
      </c>
      <c r="AE25" s="305">
        <v>6.6</v>
      </c>
      <c r="AF25" s="305">
        <v>6.6</v>
      </c>
      <c r="AG25" s="305">
        <v>6.83</v>
      </c>
      <c r="AH25" s="305">
        <v>6.96</v>
      </c>
      <c r="AI25" s="305">
        <v>7.01</v>
      </c>
      <c r="AJ25" s="305">
        <v>7.01</v>
      </c>
      <c r="AK25" s="305">
        <v>7.12</v>
      </c>
      <c r="AL25" s="305">
        <v>7.22</v>
      </c>
      <c r="AM25" s="305">
        <v>7.25</v>
      </c>
      <c r="AN25" s="307">
        <v>7.29</v>
      </c>
      <c r="AO25" s="307">
        <v>1</v>
      </c>
      <c r="AP25" s="307">
        <v>1</v>
      </c>
      <c r="AQ25" s="307">
        <v>1</v>
      </c>
      <c r="AR25" s="307">
        <v>1</v>
      </c>
      <c r="AS25" s="307">
        <v>1</v>
      </c>
      <c r="AT25" s="307">
        <v>1</v>
      </c>
      <c r="AU25" s="307">
        <v>1</v>
      </c>
      <c r="AV25" s="307">
        <v>1</v>
      </c>
      <c r="AW25" s="307">
        <v>1</v>
      </c>
      <c r="AX25" s="307">
        <v>1</v>
      </c>
      <c r="AY25" s="307">
        <v>1</v>
      </c>
      <c r="AZ25" s="307">
        <v>1</v>
      </c>
      <c r="BA25" s="307">
        <v>1</v>
      </c>
      <c r="BB25" s="307">
        <v>1</v>
      </c>
      <c r="BD25" s="305">
        <f t="shared" si="167"/>
        <v>1</v>
      </c>
      <c r="BE25" s="305">
        <v>4.21</v>
      </c>
      <c r="BF25" s="305">
        <v>4.32</v>
      </c>
      <c r="BG25" s="305">
        <v>4.32</v>
      </c>
      <c r="BH25" s="305">
        <v>4.34</v>
      </c>
      <c r="BI25" s="305">
        <v>4.43</v>
      </c>
      <c r="BJ25" s="305">
        <v>4.41</v>
      </c>
      <c r="BK25" s="305">
        <v>4.43</v>
      </c>
      <c r="BL25" s="305">
        <v>4.43</v>
      </c>
      <c r="BM25" s="305">
        <v>4.59</v>
      </c>
      <c r="BN25" s="305">
        <v>4.67</v>
      </c>
      <c r="BO25" s="305">
        <v>4.7</v>
      </c>
      <c r="BP25" s="305">
        <v>4.7</v>
      </c>
      <c r="BQ25" s="305">
        <v>4.78</v>
      </c>
      <c r="BR25" s="305">
        <v>4.8499999999999996</v>
      </c>
      <c r="BS25" s="305">
        <v>4.87</v>
      </c>
      <c r="BT25" s="307">
        <v>4.9000000000000004</v>
      </c>
      <c r="BU25" s="307">
        <v>1</v>
      </c>
      <c r="BV25" s="307">
        <v>1</v>
      </c>
      <c r="BW25" s="307">
        <v>1</v>
      </c>
      <c r="BX25" s="307">
        <v>1</v>
      </c>
      <c r="BY25" s="307">
        <v>1</v>
      </c>
      <c r="BZ25" s="307">
        <v>1</v>
      </c>
      <c r="CA25" s="307">
        <v>1</v>
      </c>
      <c r="CB25" s="307">
        <v>1</v>
      </c>
      <c r="CC25" s="307">
        <v>1</v>
      </c>
      <c r="CD25" s="307">
        <v>1</v>
      </c>
      <c r="CE25" s="307">
        <v>1</v>
      </c>
      <c r="CF25" s="307">
        <v>1</v>
      </c>
      <c r="CG25" s="307">
        <v>1</v>
      </c>
      <c r="CH25" s="307">
        <v>1</v>
      </c>
      <c r="CJ25" s="305">
        <f t="shared" si="168"/>
        <v>1</v>
      </c>
      <c r="CK25" s="305">
        <v>4.37</v>
      </c>
      <c r="CL25" s="305">
        <v>4.3099999999999996</v>
      </c>
      <c r="CM25" s="305">
        <v>4.3099999999999996</v>
      </c>
      <c r="CN25" s="305">
        <v>4.33</v>
      </c>
      <c r="CO25" s="305">
        <v>4.42</v>
      </c>
      <c r="CP25" s="305">
        <v>4.4000000000000004</v>
      </c>
      <c r="CQ25" s="307">
        <v>1</v>
      </c>
      <c r="CR25" s="307">
        <v>1</v>
      </c>
      <c r="CS25" s="307">
        <v>1</v>
      </c>
      <c r="CT25" s="307">
        <v>1</v>
      </c>
      <c r="CU25" s="307">
        <v>1</v>
      </c>
      <c r="CV25" s="307">
        <v>1</v>
      </c>
      <c r="CW25" s="307">
        <v>1</v>
      </c>
      <c r="CX25" s="307">
        <v>1</v>
      </c>
      <c r="CY25" s="307">
        <v>1</v>
      </c>
      <c r="CZ25" s="307">
        <v>1</v>
      </c>
      <c r="DA25" s="307">
        <v>1</v>
      </c>
      <c r="DB25" s="307">
        <v>1</v>
      </c>
      <c r="DC25" s="307">
        <v>1</v>
      </c>
      <c r="DD25" s="307">
        <v>1</v>
      </c>
      <c r="DE25" s="307">
        <v>1</v>
      </c>
      <c r="DF25" s="307">
        <v>1</v>
      </c>
      <c r="DG25" s="307">
        <v>1</v>
      </c>
      <c r="DH25" s="307">
        <v>1</v>
      </c>
      <c r="DI25" s="307">
        <v>1</v>
      </c>
      <c r="DJ25" s="307">
        <v>1</v>
      </c>
      <c r="DK25" s="307">
        <v>1</v>
      </c>
      <c r="DL25" s="307">
        <v>1</v>
      </c>
      <c r="DM25" s="307">
        <v>1</v>
      </c>
      <c r="DN25" s="307">
        <v>1</v>
      </c>
      <c r="DP25" s="305">
        <f t="shared" si="169"/>
        <v>1</v>
      </c>
      <c r="DQ25" s="305">
        <v>4.1500000000000004</v>
      </c>
      <c r="DR25" s="305">
        <v>4.26</v>
      </c>
      <c r="DS25" s="305">
        <v>4.26</v>
      </c>
      <c r="DT25" s="305">
        <v>4.28</v>
      </c>
      <c r="DU25" s="305">
        <v>4.37</v>
      </c>
      <c r="DV25" s="305">
        <v>4.3499999999999996</v>
      </c>
      <c r="DW25" s="305">
        <v>4.37</v>
      </c>
      <c r="DX25" s="305">
        <v>4.37</v>
      </c>
      <c r="DY25" s="305">
        <v>4.5199999999999996</v>
      </c>
      <c r="DZ25" s="305">
        <v>4.5999999999999996</v>
      </c>
      <c r="EA25" s="305">
        <v>4.63</v>
      </c>
      <c r="EB25" s="305">
        <v>4.63</v>
      </c>
      <c r="EC25" s="305">
        <v>4.7</v>
      </c>
      <c r="ED25" s="305">
        <v>4.7699999999999996</v>
      </c>
      <c r="EE25" s="305">
        <v>4.78</v>
      </c>
      <c r="EF25" s="307">
        <v>4.8099999999999996</v>
      </c>
      <c r="EG25" s="307">
        <v>1</v>
      </c>
      <c r="EH25" s="307">
        <v>1</v>
      </c>
      <c r="EI25" s="307">
        <v>1</v>
      </c>
      <c r="EJ25" s="307">
        <v>1</v>
      </c>
      <c r="EK25" s="307">
        <v>1</v>
      </c>
      <c r="EL25" s="307">
        <v>1</v>
      </c>
      <c r="EM25" s="307">
        <v>1</v>
      </c>
      <c r="EN25" s="307">
        <v>1</v>
      </c>
      <c r="EO25" s="307">
        <v>1</v>
      </c>
      <c r="EP25" s="307">
        <v>1</v>
      </c>
      <c r="EQ25" s="307">
        <v>1</v>
      </c>
      <c r="ER25" s="307">
        <v>1</v>
      </c>
      <c r="ES25" s="307">
        <v>1</v>
      </c>
      <c r="ET25" s="307">
        <v>1</v>
      </c>
      <c r="EV25" s="305">
        <f t="shared" si="170"/>
        <v>1</v>
      </c>
      <c r="EW25" s="305">
        <v>4.5599999999999996</v>
      </c>
      <c r="EX25" s="305">
        <v>4.6500000000000004</v>
      </c>
      <c r="EY25" s="305">
        <v>4.6500000000000004</v>
      </c>
      <c r="EZ25" s="305">
        <v>4.67</v>
      </c>
      <c r="FA25" s="305">
        <v>4.7699999999999996</v>
      </c>
      <c r="FB25" s="305">
        <v>4.75</v>
      </c>
      <c r="FC25" s="307">
        <v>1</v>
      </c>
      <c r="FD25" s="307">
        <v>1</v>
      </c>
      <c r="FE25" s="307">
        <v>1</v>
      </c>
      <c r="FF25" s="307">
        <v>1</v>
      </c>
      <c r="FG25" s="307">
        <v>1</v>
      </c>
      <c r="FH25" s="307">
        <v>1</v>
      </c>
      <c r="FI25" s="307">
        <v>1</v>
      </c>
      <c r="FJ25" s="307">
        <v>1</v>
      </c>
      <c r="FK25" s="307">
        <v>1</v>
      </c>
      <c r="FL25" s="307">
        <v>1</v>
      </c>
      <c r="FM25" s="307">
        <v>1</v>
      </c>
      <c r="FN25" s="307">
        <v>1</v>
      </c>
      <c r="FO25" s="307">
        <v>1</v>
      </c>
      <c r="FP25" s="307">
        <v>1</v>
      </c>
      <c r="FQ25" s="307">
        <v>1</v>
      </c>
      <c r="FR25" s="307">
        <v>1</v>
      </c>
      <c r="FS25" s="307">
        <v>1</v>
      </c>
      <c r="FT25" s="307">
        <v>1</v>
      </c>
      <c r="FU25" s="307">
        <v>1</v>
      </c>
      <c r="FV25" s="307">
        <v>1</v>
      </c>
      <c r="FW25" s="307">
        <v>1</v>
      </c>
      <c r="FX25" s="307">
        <v>1</v>
      </c>
      <c r="FY25" s="307">
        <v>1</v>
      </c>
      <c r="FZ25" s="307">
        <v>1</v>
      </c>
      <c r="GB25" s="305">
        <f t="shared" si="171"/>
        <v>1</v>
      </c>
      <c r="GC25" s="305">
        <v>12.66</v>
      </c>
      <c r="GD25" s="305">
        <v>12.94</v>
      </c>
      <c r="GE25" s="305">
        <v>12.94</v>
      </c>
      <c r="GF25" s="305">
        <v>12.99</v>
      </c>
      <c r="GG25" s="305">
        <v>13.26</v>
      </c>
      <c r="GH25" s="305">
        <v>13.21</v>
      </c>
      <c r="GI25" s="305">
        <v>13.27</v>
      </c>
      <c r="GJ25" s="305">
        <v>13.27</v>
      </c>
      <c r="GK25" s="305">
        <v>13.73</v>
      </c>
      <c r="GL25" s="305">
        <v>13.98</v>
      </c>
      <c r="GM25" s="305">
        <v>14.08</v>
      </c>
      <c r="GN25" s="305">
        <v>14.08</v>
      </c>
      <c r="GO25" s="305">
        <v>14.31</v>
      </c>
      <c r="GP25" s="305">
        <v>14.51</v>
      </c>
      <c r="GQ25" s="305">
        <v>14.57</v>
      </c>
      <c r="GR25" s="307">
        <v>14.66</v>
      </c>
      <c r="GS25" s="307">
        <v>1</v>
      </c>
      <c r="GT25" s="307">
        <v>1</v>
      </c>
      <c r="GU25" s="307">
        <v>1</v>
      </c>
      <c r="GV25" s="307">
        <v>1</v>
      </c>
      <c r="GW25" s="307">
        <v>1</v>
      </c>
      <c r="GX25" s="307">
        <v>1</v>
      </c>
      <c r="GY25" s="307">
        <v>1</v>
      </c>
      <c r="GZ25" s="307">
        <v>1</v>
      </c>
      <c r="HA25" s="307">
        <v>1</v>
      </c>
      <c r="HB25" s="307">
        <v>1</v>
      </c>
      <c r="HC25" s="307">
        <v>1</v>
      </c>
      <c r="HD25" s="307">
        <v>1</v>
      </c>
      <c r="HE25" s="307">
        <v>1</v>
      </c>
      <c r="HF25" s="307">
        <v>1</v>
      </c>
      <c r="HH25" s="300">
        <v>3</v>
      </c>
      <c r="HI25" s="308">
        <v>1.0900000000000001</v>
      </c>
      <c r="HJ25" s="304">
        <v>1.19</v>
      </c>
      <c r="HK25" s="304">
        <v>1.22</v>
      </c>
      <c r="HM25" s="300">
        <f t="shared" si="173"/>
        <v>20</v>
      </c>
      <c r="HN25" s="305">
        <v>1</v>
      </c>
      <c r="HO25" s="309">
        <v>1.03</v>
      </c>
      <c r="HP25" s="309">
        <v>1.04</v>
      </c>
      <c r="HQ25" s="309">
        <v>1</v>
      </c>
      <c r="HR25" s="309">
        <v>1.06</v>
      </c>
      <c r="HS25" s="309">
        <v>1.03</v>
      </c>
      <c r="HT25" s="309">
        <v>1.07</v>
      </c>
      <c r="HU25" s="309">
        <v>1.03</v>
      </c>
      <c r="HV25" s="309">
        <v>1.0900000000000001</v>
      </c>
      <c r="HW25" s="309">
        <v>1.0900000000000001</v>
      </c>
      <c r="HX25" s="309">
        <v>1.04</v>
      </c>
      <c r="HY25" s="309">
        <v>1.03</v>
      </c>
      <c r="HZ25" s="309">
        <v>1.0900000000000001</v>
      </c>
      <c r="IA25" s="309">
        <v>1.08</v>
      </c>
      <c r="IB25" s="309">
        <v>1.18</v>
      </c>
      <c r="IC25" s="309">
        <v>1.19</v>
      </c>
      <c r="ID25" s="309">
        <v>1.2</v>
      </c>
      <c r="IE25" s="309">
        <v>1.1599999999999999</v>
      </c>
      <c r="IF25" s="309">
        <v>1.2</v>
      </c>
      <c r="IG25" s="309">
        <v>1.24</v>
      </c>
    </row>
    <row r="26" spans="1:247" s="316" customFormat="1" ht="12.75" customHeight="1" x14ac:dyDescent="0.2">
      <c r="A26" s="311">
        <f t="shared" si="172"/>
        <v>22</v>
      </c>
      <c r="B26" s="312" t="s">
        <v>1319</v>
      </c>
      <c r="C26" s="313">
        <v>1.5549999999999999</v>
      </c>
      <c r="D26" s="313">
        <v>1.653</v>
      </c>
      <c r="E26" s="313">
        <v>1.32</v>
      </c>
      <c r="F26" s="313">
        <v>1.19</v>
      </c>
      <c r="G26" s="313"/>
      <c r="H26" s="314">
        <f ca="1">OFFSET($HH26,0,'Расчет стоимости'!$M$10,1,1)</f>
        <v>1.0900000000000001</v>
      </c>
      <c r="I26" s="313">
        <v>1</v>
      </c>
      <c r="J26" s="313">
        <v>1</v>
      </c>
      <c r="K26" s="312">
        <v>1</v>
      </c>
      <c r="L26" s="312">
        <v>1</v>
      </c>
      <c r="M26" s="315">
        <v>3.2000000000000001E-2</v>
      </c>
      <c r="N26" s="316">
        <v>2.9000000000000001E-2</v>
      </c>
      <c r="O26" s="316">
        <v>1.2999999999999999E-2</v>
      </c>
      <c r="P26" s="316">
        <v>0.04</v>
      </c>
      <c r="Q26" s="316">
        <v>3.0000000000000001E-3</v>
      </c>
      <c r="R26" s="317" t="s">
        <v>235</v>
      </c>
      <c r="S26" s="316" t="s">
        <v>266</v>
      </c>
      <c r="T26" s="317">
        <f t="shared" ref="T26:W45" si="174">IF(IFERROR(HLOOKUP(T$5,$HN$5:$IQ$91,$A26,FALSE),0)=0,1,HLOOKUP(T$5,$HN$5:$IQ$91,$A26,FALSE))</f>
        <v>1</v>
      </c>
      <c r="U26" s="317">
        <f t="shared" si="174"/>
        <v>1</v>
      </c>
      <c r="V26" s="317">
        <f t="shared" si="174"/>
        <v>1</v>
      </c>
      <c r="W26" s="317">
        <f t="shared" si="174"/>
        <v>1</v>
      </c>
      <c r="X26" s="316">
        <f t="shared" si="166"/>
        <v>1</v>
      </c>
      <c r="Y26" s="316">
        <v>8.4499999999999993</v>
      </c>
      <c r="Z26" s="316">
        <f>8.61</f>
        <v>8.61</v>
      </c>
      <c r="AA26" s="316">
        <v>8.61</v>
      </c>
      <c r="AB26" s="316">
        <v>8.64</v>
      </c>
      <c r="AC26" s="316">
        <v>8.82</v>
      </c>
      <c r="AD26" s="316">
        <v>8.7799999999999994</v>
      </c>
      <c r="AE26" s="316">
        <v>8.36</v>
      </c>
      <c r="AF26" s="316">
        <v>8.36</v>
      </c>
      <c r="AG26" s="316">
        <v>8.65</v>
      </c>
      <c r="AH26" s="316">
        <v>8.81</v>
      </c>
      <c r="AI26" s="316">
        <v>7.3</v>
      </c>
      <c r="AJ26" s="316">
        <v>7.3</v>
      </c>
      <c r="AK26" s="316">
        <v>7.42</v>
      </c>
      <c r="AL26" s="316">
        <v>7.52</v>
      </c>
      <c r="AM26" s="316">
        <v>7.31</v>
      </c>
      <c r="AN26" s="318">
        <v>7.35</v>
      </c>
      <c r="AO26" s="318">
        <v>1</v>
      </c>
      <c r="AP26" s="318">
        <v>1</v>
      </c>
      <c r="AQ26" s="318">
        <v>1</v>
      </c>
      <c r="AR26" s="318">
        <v>1</v>
      </c>
      <c r="AS26" s="318">
        <v>1</v>
      </c>
      <c r="AT26" s="318">
        <v>1</v>
      </c>
      <c r="AU26" s="318">
        <v>1</v>
      </c>
      <c r="AV26" s="318">
        <v>1</v>
      </c>
      <c r="AW26" s="318">
        <v>1</v>
      </c>
      <c r="AX26" s="318">
        <v>1</v>
      </c>
      <c r="AY26" s="318">
        <v>1</v>
      </c>
      <c r="AZ26" s="318">
        <v>1</v>
      </c>
      <c r="BA26" s="318">
        <v>1</v>
      </c>
      <c r="BB26" s="318">
        <v>1</v>
      </c>
      <c r="BD26" s="316">
        <f t="shared" si="167"/>
        <v>1</v>
      </c>
      <c r="BE26" s="316">
        <v>4.7699999999999996</v>
      </c>
      <c r="BF26" s="316">
        <v>4.79</v>
      </c>
      <c r="BG26" s="316">
        <v>4.79</v>
      </c>
      <c r="BH26" s="316">
        <v>4.8099999999999996</v>
      </c>
      <c r="BI26" s="316">
        <v>4.91</v>
      </c>
      <c r="BJ26" s="316">
        <v>4.71</v>
      </c>
      <c r="BK26" s="316">
        <v>4.6500000000000004</v>
      </c>
      <c r="BL26" s="316">
        <v>4.6500000000000004</v>
      </c>
      <c r="BM26" s="316">
        <v>4.8</v>
      </c>
      <c r="BN26" s="316">
        <v>4.8499999999999996</v>
      </c>
      <c r="BO26" s="316">
        <v>4.26</v>
      </c>
      <c r="BP26" s="316">
        <v>4.26</v>
      </c>
      <c r="BQ26" s="316">
        <v>4.33</v>
      </c>
      <c r="BR26" s="316">
        <v>4.3899999999999997</v>
      </c>
      <c r="BS26" s="316">
        <v>4.3</v>
      </c>
      <c r="BT26" s="318">
        <v>4.33</v>
      </c>
      <c r="BU26" s="318">
        <v>1</v>
      </c>
      <c r="BV26" s="318">
        <v>1</v>
      </c>
      <c r="BW26" s="318">
        <v>1</v>
      </c>
      <c r="BX26" s="318">
        <v>1</v>
      </c>
      <c r="BY26" s="318">
        <v>1</v>
      </c>
      <c r="BZ26" s="318">
        <v>1</v>
      </c>
      <c r="CA26" s="318">
        <v>1</v>
      </c>
      <c r="CB26" s="318">
        <v>1</v>
      </c>
      <c r="CC26" s="318">
        <v>1</v>
      </c>
      <c r="CD26" s="318">
        <v>1</v>
      </c>
      <c r="CE26" s="318">
        <v>1</v>
      </c>
      <c r="CF26" s="318">
        <v>1</v>
      </c>
      <c r="CG26" s="318">
        <v>1</v>
      </c>
      <c r="CH26" s="318">
        <v>1</v>
      </c>
      <c r="CJ26" s="316">
        <f t="shared" si="168"/>
        <v>1</v>
      </c>
      <c r="CK26" s="316">
        <v>5.15</v>
      </c>
      <c r="CL26" s="316">
        <v>4.91</v>
      </c>
      <c r="CM26" s="316">
        <v>4.91</v>
      </c>
      <c r="CN26" s="316">
        <v>4.82</v>
      </c>
      <c r="CO26" s="316">
        <v>4.92</v>
      </c>
      <c r="CP26" s="316">
        <v>4.78</v>
      </c>
      <c r="CQ26" s="318">
        <v>1</v>
      </c>
      <c r="CR26" s="318">
        <v>1</v>
      </c>
      <c r="CS26" s="318">
        <v>1</v>
      </c>
      <c r="CT26" s="318">
        <v>1</v>
      </c>
      <c r="CU26" s="318">
        <v>1</v>
      </c>
      <c r="CV26" s="318">
        <v>1</v>
      </c>
      <c r="CW26" s="318">
        <v>1</v>
      </c>
      <c r="CX26" s="318">
        <v>1</v>
      </c>
      <c r="CY26" s="318">
        <v>1</v>
      </c>
      <c r="CZ26" s="318">
        <v>1</v>
      </c>
      <c r="DA26" s="318">
        <v>1</v>
      </c>
      <c r="DB26" s="318">
        <v>1</v>
      </c>
      <c r="DC26" s="318">
        <v>1</v>
      </c>
      <c r="DD26" s="318">
        <v>1</v>
      </c>
      <c r="DE26" s="318">
        <v>1</v>
      </c>
      <c r="DF26" s="318">
        <v>1</v>
      </c>
      <c r="DG26" s="318">
        <v>1</v>
      </c>
      <c r="DH26" s="318">
        <v>1</v>
      </c>
      <c r="DI26" s="318">
        <v>1</v>
      </c>
      <c r="DJ26" s="318">
        <v>1</v>
      </c>
      <c r="DK26" s="318">
        <v>1</v>
      </c>
      <c r="DL26" s="318">
        <v>1</v>
      </c>
      <c r="DM26" s="318">
        <v>1</v>
      </c>
      <c r="DN26" s="318">
        <v>1</v>
      </c>
      <c r="DP26" s="316">
        <f t="shared" si="169"/>
        <v>1</v>
      </c>
      <c r="DQ26" s="316">
        <v>6.64</v>
      </c>
      <c r="DR26" s="316">
        <v>6.64</v>
      </c>
      <c r="DS26" s="316">
        <v>6.64</v>
      </c>
      <c r="DT26" s="316">
        <v>6.67</v>
      </c>
      <c r="DU26" s="316">
        <v>6.81</v>
      </c>
      <c r="DV26" s="316">
        <v>6.78</v>
      </c>
      <c r="DW26" s="316">
        <v>6.82</v>
      </c>
      <c r="DX26" s="316">
        <v>6.82</v>
      </c>
      <c r="DY26" s="316">
        <v>7.06</v>
      </c>
      <c r="DZ26" s="316">
        <v>7.19</v>
      </c>
      <c r="EA26" s="316">
        <v>6.28</v>
      </c>
      <c r="EB26" s="316">
        <v>6.28</v>
      </c>
      <c r="EC26" s="316">
        <v>6.38</v>
      </c>
      <c r="ED26" s="316">
        <v>6.47</v>
      </c>
      <c r="EE26" s="316">
        <v>5.98</v>
      </c>
      <c r="EF26" s="318">
        <v>6.02</v>
      </c>
      <c r="EG26" s="318">
        <v>1</v>
      </c>
      <c r="EH26" s="318">
        <v>1</v>
      </c>
      <c r="EI26" s="318">
        <v>1</v>
      </c>
      <c r="EJ26" s="318">
        <v>1</v>
      </c>
      <c r="EK26" s="318">
        <v>1</v>
      </c>
      <c r="EL26" s="318">
        <v>1</v>
      </c>
      <c r="EM26" s="318">
        <v>1</v>
      </c>
      <c r="EN26" s="318">
        <v>1</v>
      </c>
      <c r="EO26" s="318">
        <v>1</v>
      </c>
      <c r="EP26" s="318">
        <v>1</v>
      </c>
      <c r="EQ26" s="318">
        <v>1</v>
      </c>
      <c r="ER26" s="318">
        <v>1</v>
      </c>
      <c r="ES26" s="318">
        <v>1</v>
      </c>
      <c r="ET26" s="318">
        <v>1</v>
      </c>
      <c r="EV26" s="316">
        <f t="shared" si="170"/>
        <v>1</v>
      </c>
      <c r="EW26" s="316">
        <v>6.1</v>
      </c>
      <c r="EX26" s="316">
        <v>5.88</v>
      </c>
      <c r="EY26" s="316">
        <v>5.88</v>
      </c>
      <c r="EZ26" s="316">
        <v>5.9</v>
      </c>
      <c r="FA26" s="316">
        <v>6.02</v>
      </c>
      <c r="FB26" s="316">
        <v>6</v>
      </c>
      <c r="FC26" s="318">
        <v>1</v>
      </c>
      <c r="FD26" s="318">
        <v>1</v>
      </c>
      <c r="FE26" s="318">
        <v>1</v>
      </c>
      <c r="FF26" s="318">
        <v>1</v>
      </c>
      <c r="FG26" s="318">
        <v>1</v>
      </c>
      <c r="FH26" s="318">
        <v>1</v>
      </c>
      <c r="FI26" s="318">
        <v>1</v>
      </c>
      <c r="FJ26" s="318">
        <v>1</v>
      </c>
      <c r="FK26" s="318">
        <v>1</v>
      </c>
      <c r="FL26" s="318">
        <v>1</v>
      </c>
      <c r="FM26" s="318">
        <v>1</v>
      </c>
      <c r="FN26" s="318">
        <v>1</v>
      </c>
      <c r="FO26" s="318">
        <v>1</v>
      </c>
      <c r="FP26" s="318">
        <v>1</v>
      </c>
      <c r="FQ26" s="318">
        <v>1</v>
      </c>
      <c r="FR26" s="318">
        <v>1</v>
      </c>
      <c r="FS26" s="318">
        <v>1</v>
      </c>
      <c r="FT26" s="318">
        <v>1</v>
      </c>
      <c r="FU26" s="318">
        <v>1</v>
      </c>
      <c r="FV26" s="318">
        <v>1</v>
      </c>
      <c r="FW26" s="318">
        <v>1</v>
      </c>
      <c r="FX26" s="318">
        <v>1</v>
      </c>
      <c r="FY26" s="318">
        <v>1</v>
      </c>
      <c r="FZ26" s="318">
        <v>1</v>
      </c>
      <c r="GB26" s="316">
        <f t="shared" si="171"/>
        <v>1</v>
      </c>
      <c r="GC26" s="316">
        <v>19.350000000000001</v>
      </c>
      <c r="GD26" s="316">
        <f>19.61</f>
        <v>19.61</v>
      </c>
      <c r="GE26" s="316">
        <v>19.61</v>
      </c>
      <c r="GF26" s="316">
        <v>19.690000000000001</v>
      </c>
      <c r="GG26" s="316">
        <v>20.100000000000001</v>
      </c>
      <c r="GH26" s="316">
        <v>20.02</v>
      </c>
      <c r="GI26" s="316">
        <v>20.12</v>
      </c>
      <c r="GJ26" s="316">
        <v>20.12</v>
      </c>
      <c r="GK26" s="316">
        <v>20.82</v>
      </c>
      <c r="GL26" s="316">
        <v>21.2</v>
      </c>
      <c r="GM26" s="316">
        <v>16.18</v>
      </c>
      <c r="GN26" s="316">
        <v>16.18</v>
      </c>
      <c r="GO26" s="316">
        <v>16.440000000000001</v>
      </c>
      <c r="GP26" s="316">
        <v>16.670000000000002</v>
      </c>
      <c r="GQ26" s="316">
        <v>16.29</v>
      </c>
      <c r="GR26" s="318">
        <v>16.149999999999999</v>
      </c>
      <c r="GS26" s="318">
        <v>1</v>
      </c>
      <c r="GT26" s="318">
        <v>1</v>
      </c>
      <c r="GU26" s="318">
        <v>1</v>
      </c>
      <c r="GV26" s="318">
        <v>1</v>
      </c>
      <c r="GW26" s="318">
        <v>1</v>
      </c>
      <c r="GX26" s="318">
        <v>1</v>
      </c>
      <c r="GY26" s="318">
        <v>1</v>
      </c>
      <c r="GZ26" s="318">
        <v>1</v>
      </c>
      <c r="HA26" s="318">
        <v>1</v>
      </c>
      <c r="HB26" s="318">
        <v>1</v>
      </c>
      <c r="HC26" s="318">
        <v>1</v>
      </c>
      <c r="HD26" s="318">
        <v>1</v>
      </c>
      <c r="HE26" s="318">
        <v>1</v>
      </c>
      <c r="HF26" s="318">
        <v>1</v>
      </c>
      <c r="HH26" s="311">
        <v>3</v>
      </c>
      <c r="HI26" s="319">
        <v>1.0900000000000001</v>
      </c>
      <c r="HJ26" s="315">
        <v>1.1200000000000001</v>
      </c>
      <c r="HK26" s="315">
        <v>1.22</v>
      </c>
      <c r="HM26" s="311">
        <f t="shared" si="173"/>
        <v>1</v>
      </c>
      <c r="HN26" s="316">
        <v>1</v>
      </c>
      <c r="HO26" s="320"/>
    </row>
    <row r="27" spans="1:247" hidden="1" x14ac:dyDescent="0.2">
      <c r="A27" s="373">
        <f t="shared" si="172"/>
        <v>23</v>
      </c>
      <c r="B27" s="149" t="s">
        <v>262</v>
      </c>
      <c r="C27" s="150">
        <v>1.385</v>
      </c>
      <c r="D27" s="150"/>
      <c r="E27" s="150"/>
      <c r="F27" s="150"/>
      <c r="G27" s="150"/>
      <c r="H27" s="226">
        <f ca="1">OFFSET($HH27,0,'Расчет стоимости'!$M$10,1,1)</f>
        <v>1.1200000000000001</v>
      </c>
      <c r="I27" s="150">
        <v>1</v>
      </c>
      <c r="J27" s="150">
        <v>1</v>
      </c>
      <c r="K27" s="149">
        <v>1</v>
      </c>
      <c r="L27" s="149">
        <v>1</v>
      </c>
      <c r="M27" s="372">
        <v>4.2999999999999997E-2</v>
      </c>
      <c r="N27" s="145">
        <v>3.6999999999999998E-2</v>
      </c>
      <c r="O27" s="145">
        <v>1.7000000000000001E-2</v>
      </c>
      <c r="P27" s="145">
        <v>5.5E-2</v>
      </c>
      <c r="Q27" s="145">
        <v>4.0000000000000001E-3</v>
      </c>
      <c r="R27" s="153" t="s">
        <v>242</v>
      </c>
      <c r="S27" s="145" t="s">
        <v>265</v>
      </c>
      <c r="T27" s="225">
        <f t="shared" si="174"/>
        <v>1</v>
      </c>
      <c r="U27" s="225">
        <f t="shared" si="174"/>
        <v>1</v>
      </c>
      <c r="V27" s="225">
        <f t="shared" si="174"/>
        <v>1</v>
      </c>
      <c r="W27" s="225">
        <f t="shared" si="174"/>
        <v>1</v>
      </c>
      <c r="X27" s="145">
        <f t="shared" si="166"/>
        <v>1</v>
      </c>
      <c r="Y27" s="145">
        <v>10.11</v>
      </c>
      <c r="Z27" s="145">
        <v>10.37</v>
      </c>
      <c r="AA27" s="145">
        <v>10.37</v>
      </c>
      <c r="AB27" s="145">
        <v>10.41</v>
      </c>
      <c r="AC27" s="145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6">
        <f t="shared" si="167"/>
        <v>1</v>
      </c>
      <c r="BE27" s="145">
        <v>6.41</v>
      </c>
      <c r="BF27" s="145">
        <v>6.22</v>
      </c>
      <c r="BG27" s="145">
        <v>6.22</v>
      </c>
      <c r="BH27" s="145">
        <v>6.24</v>
      </c>
      <c r="BI27" s="145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5">
        <f t="shared" si="168"/>
        <v>1</v>
      </c>
      <c r="CK27" s="145">
        <v>6.53</v>
      </c>
      <c r="CL27" s="145">
        <v>6.24</v>
      </c>
      <c r="CM27" s="145">
        <v>6.24</v>
      </c>
      <c r="CN27" s="145">
        <v>5.83</v>
      </c>
      <c r="CO27" s="145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6">
        <f t="shared" si="169"/>
        <v>1</v>
      </c>
      <c r="DQ27" s="145">
        <v>8.91</v>
      </c>
      <c r="DR27" s="145">
        <v>8.93</v>
      </c>
      <c r="DS27" s="145">
        <v>8.93</v>
      </c>
      <c r="DT27" s="145">
        <v>8.9700000000000006</v>
      </c>
      <c r="DU27" s="145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5">
        <f t="shared" si="170"/>
        <v>1</v>
      </c>
      <c r="EW27" s="145">
        <v>7.71</v>
      </c>
      <c r="EX27" s="145">
        <v>7.58</v>
      </c>
      <c r="EY27" s="145">
        <v>7.58</v>
      </c>
      <c r="EZ27" s="145">
        <v>7.5</v>
      </c>
      <c r="FA27" s="145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6">
        <f t="shared" si="171"/>
        <v>1</v>
      </c>
      <c r="GC27" s="145">
        <v>28.39</v>
      </c>
      <c r="GD27" s="145">
        <v>28.47</v>
      </c>
      <c r="GE27" s="145">
        <v>28.47</v>
      </c>
      <c r="GF27" s="145">
        <v>28.58</v>
      </c>
      <c r="GG27" s="145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3">
        <v>2</v>
      </c>
      <c r="HI27" s="218">
        <v>1.1200000000000001</v>
      </c>
      <c r="HJ27" s="41">
        <v>1.22</v>
      </c>
      <c r="HK27" s="41">
        <v>1.22</v>
      </c>
      <c r="HM27" s="373">
        <f t="shared" si="173"/>
        <v>1</v>
      </c>
      <c r="HN27" s="145">
        <v>1</v>
      </c>
    </row>
    <row r="28" spans="1:247" s="265" customFormat="1" ht="12.75" customHeight="1" x14ac:dyDescent="0.2">
      <c r="A28" s="260">
        <f t="shared" si="172"/>
        <v>24</v>
      </c>
      <c r="B28" s="261" t="s">
        <v>121</v>
      </c>
      <c r="C28" s="262">
        <v>1.0820000000000001</v>
      </c>
      <c r="D28" s="262">
        <v>1.087</v>
      </c>
      <c r="E28" s="262">
        <v>1.044</v>
      </c>
      <c r="F28" s="262">
        <v>1.167</v>
      </c>
      <c r="G28" s="262"/>
      <c r="H28" s="263">
        <f ca="1">OFFSET($HH28,0,'Расчет стоимости'!$M$10,1,1)</f>
        <v>1</v>
      </c>
      <c r="I28" s="262">
        <v>1</v>
      </c>
      <c r="J28" s="262">
        <v>1</v>
      </c>
      <c r="K28" s="261">
        <v>1</v>
      </c>
      <c r="L28" s="261">
        <v>1</v>
      </c>
      <c r="M28" s="264">
        <v>3.2000000000000001E-2</v>
      </c>
      <c r="N28" s="265">
        <v>2.8999999999999998E-2</v>
      </c>
      <c r="O28" s="265">
        <v>1.3000000000000001E-2</v>
      </c>
      <c r="P28" s="265">
        <v>0.04</v>
      </c>
      <c r="Q28" s="265">
        <v>3.0000000000000001E-3</v>
      </c>
      <c r="R28" s="298" t="s">
        <v>238</v>
      </c>
      <c r="T28" s="266">
        <f t="shared" si="174"/>
        <v>1</v>
      </c>
      <c r="U28" s="266">
        <f t="shared" si="174"/>
        <v>1</v>
      </c>
      <c r="V28" s="266">
        <f t="shared" si="174"/>
        <v>1</v>
      </c>
      <c r="W28" s="266">
        <f t="shared" si="174"/>
        <v>1</v>
      </c>
      <c r="X28" s="265">
        <f t="shared" si="166"/>
        <v>1</v>
      </c>
      <c r="Y28" s="265">
        <v>6.62</v>
      </c>
      <c r="Z28" s="265">
        <v>6.8</v>
      </c>
      <c r="AA28" s="265">
        <v>6.8</v>
      </c>
      <c r="AB28" s="265">
        <v>6.83</v>
      </c>
      <c r="AC28" s="265">
        <v>6.97</v>
      </c>
      <c r="AD28" s="265">
        <v>6.94</v>
      </c>
      <c r="AE28" s="265">
        <v>6.98</v>
      </c>
      <c r="AF28" s="265">
        <v>6.98</v>
      </c>
      <c r="AG28" s="265">
        <v>7.22</v>
      </c>
      <c r="AH28" s="265">
        <v>7.35</v>
      </c>
      <c r="AI28" s="265">
        <v>7.4</v>
      </c>
      <c r="AJ28" s="265">
        <v>7.4</v>
      </c>
      <c r="AK28" s="265">
        <v>7.52</v>
      </c>
      <c r="AL28" s="265">
        <v>7.63</v>
      </c>
      <c r="AM28" s="265">
        <v>7.66</v>
      </c>
      <c r="AN28" s="267">
        <v>6.64</v>
      </c>
      <c r="AO28" s="267">
        <v>1</v>
      </c>
      <c r="AP28" s="267">
        <v>1</v>
      </c>
      <c r="AQ28" s="267">
        <v>1</v>
      </c>
      <c r="AR28" s="267">
        <v>1</v>
      </c>
      <c r="AS28" s="267">
        <v>1</v>
      </c>
      <c r="AT28" s="267">
        <v>1</v>
      </c>
      <c r="AU28" s="267">
        <v>1</v>
      </c>
      <c r="AV28" s="267">
        <v>1</v>
      </c>
      <c r="AW28" s="267">
        <v>1</v>
      </c>
      <c r="AX28" s="267">
        <v>1</v>
      </c>
      <c r="AY28" s="267">
        <v>1</v>
      </c>
      <c r="AZ28" s="267">
        <v>1</v>
      </c>
      <c r="BA28" s="267">
        <v>1</v>
      </c>
      <c r="BB28" s="267">
        <v>1</v>
      </c>
      <c r="BD28" s="265">
        <f t="shared" si="167"/>
        <v>1</v>
      </c>
      <c r="BE28" s="265">
        <v>4.38</v>
      </c>
      <c r="BF28" s="265">
        <v>4.47</v>
      </c>
      <c r="BG28" s="265">
        <v>4.47</v>
      </c>
      <c r="BH28" s="265">
        <v>4.46</v>
      </c>
      <c r="BI28" s="265">
        <v>4.49</v>
      </c>
      <c r="BJ28" s="265">
        <v>4.47</v>
      </c>
      <c r="BK28" s="265">
        <v>4.49</v>
      </c>
      <c r="BL28" s="265">
        <v>4.49</v>
      </c>
      <c r="BM28" s="265">
        <v>4.6500000000000004</v>
      </c>
      <c r="BN28" s="265">
        <v>4.7300000000000004</v>
      </c>
      <c r="BO28" s="265">
        <v>4.76</v>
      </c>
      <c r="BP28" s="265">
        <v>4.76</v>
      </c>
      <c r="BQ28" s="265">
        <v>4.84</v>
      </c>
      <c r="BR28" s="265">
        <v>4.91</v>
      </c>
      <c r="BS28" s="265">
        <v>4.93</v>
      </c>
      <c r="BT28" s="267">
        <v>5.0999999999999996</v>
      </c>
      <c r="BU28" s="267">
        <v>1</v>
      </c>
      <c r="BV28" s="267">
        <v>1</v>
      </c>
      <c r="BW28" s="267">
        <v>1</v>
      </c>
      <c r="BX28" s="267">
        <v>1</v>
      </c>
      <c r="BY28" s="267">
        <v>1</v>
      </c>
      <c r="BZ28" s="267">
        <v>1</v>
      </c>
      <c r="CA28" s="267">
        <v>1</v>
      </c>
      <c r="CB28" s="267">
        <v>1</v>
      </c>
      <c r="CC28" s="267">
        <v>1</v>
      </c>
      <c r="CD28" s="267">
        <v>1</v>
      </c>
      <c r="CE28" s="267">
        <v>1</v>
      </c>
      <c r="CF28" s="267">
        <v>1</v>
      </c>
      <c r="CG28" s="267">
        <v>1</v>
      </c>
      <c r="CH28" s="267">
        <v>1</v>
      </c>
      <c r="CJ28" s="265">
        <f t="shared" si="168"/>
        <v>1</v>
      </c>
      <c r="CK28" s="265">
        <v>4.42</v>
      </c>
      <c r="CL28" s="265">
        <v>4.53</v>
      </c>
      <c r="CM28" s="265">
        <v>4.53</v>
      </c>
      <c r="CN28" s="265">
        <v>4.55</v>
      </c>
      <c r="CO28" s="265">
        <v>4.62</v>
      </c>
      <c r="CP28" s="265">
        <v>4.5999999999999996</v>
      </c>
      <c r="CQ28" s="267">
        <v>1</v>
      </c>
      <c r="CR28" s="267">
        <v>1</v>
      </c>
      <c r="CS28" s="267">
        <v>1</v>
      </c>
      <c r="CT28" s="267">
        <v>1</v>
      </c>
      <c r="CU28" s="267">
        <v>1</v>
      </c>
      <c r="CV28" s="267">
        <v>1</v>
      </c>
      <c r="CW28" s="267">
        <v>1</v>
      </c>
      <c r="CX28" s="267">
        <v>1</v>
      </c>
      <c r="CY28" s="267">
        <v>1</v>
      </c>
      <c r="CZ28" s="267">
        <v>1</v>
      </c>
      <c r="DA28" s="267">
        <v>1</v>
      </c>
      <c r="DB28" s="267">
        <v>1</v>
      </c>
      <c r="DC28" s="267">
        <v>1</v>
      </c>
      <c r="DD28" s="267">
        <v>1</v>
      </c>
      <c r="DE28" s="267">
        <v>1</v>
      </c>
      <c r="DF28" s="267">
        <v>1</v>
      </c>
      <c r="DG28" s="267">
        <v>1</v>
      </c>
      <c r="DH28" s="267">
        <v>1</v>
      </c>
      <c r="DI28" s="267">
        <v>1</v>
      </c>
      <c r="DJ28" s="267">
        <v>1</v>
      </c>
      <c r="DK28" s="267">
        <v>1</v>
      </c>
      <c r="DL28" s="267">
        <v>1</v>
      </c>
      <c r="DM28" s="267">
        <v>1</v>
      </c>
      <c r="DN28" s="267">
        <v>1</v>
      </c>
      <c r="DP28" s="265">
        <f t="shared" si="169"/>
        <v>1</v>
      </c>
      <c r="DQ28" s="265">
        <v>4.26</v>
      </c>
      <c r="DR28" s="265">
        <v>4.37</v>
      </c>
      <c r="DS28" s="265">
        <v>4.37</v>
      </c>
      <c r="DT28" s="265">
        <v>4.3899999999999997</v>
      </c>
      <c r="DU28" s="265">
        <v>4.4800000000000004</v>
      </c>
      <c r="DV28" s="265">
        <v>4.46</v>
      </c>
      <c r="DW28" s="265">
        <v>4.4800000000000004</v>
      </c>
      <c r="DX28" s="265">
        <v>4.4800000000000004</v>
      </c>
      <c r="DY28" s="265">
        <v>4.6399999999999997</v>
      </c>
      <c r="DZ28" s="265">
        <v>4.72</v>
      </c>
      <c r="EA28" s="265">
        <v>4.75</v>
      </c>
      <c r="EB28" s="265">
        <v>4.75</v>
      </c>
      <c r="EC28" s="265">
        <v>4.83</v>
      </c>
      <c r="ED28" s="265">
        <v>4.9000000000000004</v>
      </c>
      <c r="EE28" s="265">
        <v>4.92</v>
      </c>
      <c r="EF28" s="267">
        <v>6.35</v>
      </c>
      <c r="EG28" s="267">
        <v>1</v>
      </c>
      <c r="EH28" s="267">
        <v>1</v>
      </c>
      <c r="EI28" s="267">
        <v>1</v>
      </c>
      <c r="EJ28" s="267">
        <v>1</v>
      </c>
      <c r="EK28" s="267">
        <v>1</v>
      </c>
      <c r="EL28" s="267">
        <v>1</v>
      </c>
      <c r="EM28" s="267">
        <v>1</v>
      </c>
      <c r="EN28" s="267">
        <v>1</v>
      </c>
      <c r="EO28" s="267">
        <v>1</v>
      </c>
      <c r="EP28" s="267">
        <v>1</v>
      </c>
      <c r="EQ28" s="267">
        <v>1</v>
      </c>
      <c r="ER28" s="267">
        <v>1</v>
      </c>
      <c r="ES28" s="267">
        <v>1</v>
      </c>
      <c r="ET28" s="267">
        <v>1</v>
      </c>
      <c r="EV28" s="265">
        <f t="shared" si="170"/>
        <v>1</v>
      </c>
      <c r="EW28" s="265">
        <v>4.71</v>
      </c>
      <c r="EX28" s="265">
        <v>4.84</v>
      </c>
      <c r="EY28" s="265">
        <v>4.84</v>
      </c>
      <c r="EZ28" s="265">
        <v>4.8600000000000003</v>
      </c>
      <c r="FA28" s="265">
        <v>4.96</v>
      </c>
      <c r="FB28" s="265">
        <v>4.9400000000000004</v>
      </c>
      <c r="FC28" s="267">
        <v>1</v>
      </c>
      <c r="FD28" s="267">
        <v>1</v>
      </c>
      <c r="FE28" s="267">
        <v>1</v>
      </c>
      <c r="FF28" s="267">
        <v>1</v>
      </c>
      <c r="FG28" s="267">
        <v>1</v>
      </c>
      <c r="FH28" s="267">
        <v>1</v>
      </c>
      <c r="FI28" s="267">
        <v>1</v>
      </c>
      <c r="FJ28" s="267">
        <v>1</v>
      </c>
      <c r="FK28" s="267">
        <v>1</v>
      </c>
      <c r="FL28" s="267">
        <v>1</v>
      </c>
      <c r="FM28" s="267">
        <v>1</v>
      </c>
      <c r="FN28" s="267">
        <v>1</v>
      </c>
      <c r="FO28" s="267">
        <v>1</v>
      </c>
      <c r="FP28" s="267">
        <v>1</v>
      </c>
      <c r="FQ28" s="267">
        <v>1</v>
      </c>
      <c r="FR28" s="267">
        <v>1</v>
      </c>
      <c r="FS28" s="267">
        <v>1</v>
      </c>
      <c r="FT28" s="267">
        <v>1</v>
      </c>
      <c r="FU28" s="267">
        <v>1</v>
      </c>
      <c r="FV28" s="267">
        <v>1</v>
      </c>
      <c r="FW28" s="267">
        <v>1</v>
      </c>
      <c r="FX28" s="267">
        <v>1</v>
      </c>
      <c r="FY28" s="267">
        <v>1</v>
      </c>
      <c r="FZ28" s="267">
        <v>1</v>
      </c>
      <c r="GB28" s="265">
        <f t="shared" si="171"/>
        <v>1</v>
      </c>
      <c r="GC28" s="265">
        <v>13.04</v>
      </c>
      <c r="GD28" s="265">
        <v>13.38</v>
      </c>
      <c r="GE28" s="265">
        <v>13.38</v>
      </c>
      <c r="GF28" s="265">
        <v>13.43</v>
      </c>
      <c r="GG28" s="265">
        <v>13.71</v>
      </c>
      <c r="GH28" s="265">
        <v>13.66</v>
      </c>
      <c r="GI28" s="265">
        <v>13.72</v>
      </c>
      <c r="GJ28" s="265">
        <v>13.72</v>
      </c>
      <c r="GK28" s="265">
        <v>14.2</v>
      </c>
      <c r="GL28" s="265">
        <v>14.45</v>
      </c>
      <c r="GM28" s="265">
        <v>14.55</v>
      </c>
      <c r="GN28" s="265">
        <v>14.55</v>
      </c>
      <c r="GO28" s="265">
        <v>14.78</v>
      </c>
      <c r="GP28" s="265">
        <v>14.99</v>
      </c>
      <c r="GQ28" s="265">
        <v>15.05</v>
      </c>
      <c r="GR28" s="267">
        <v>12.6</v>
      </c>
      <c r="GS28" s="267">
        <v>1</v>
      </c>
      <c r="GT28" s="267">
        <v>1</v>
      </c>
      <c r="GU28" s="267">
        <v>1</v>
      </c>
      <c r="GV28" s="267">
        <v>1</v>
      </c>
      <c r="GW28" s="267">
        <v>1</v>
      </c>
      <c r="GX28" s="267">
        <v>1</v>
      </c>
      <c r="GY28" s="267">
        <v>1</v>
      </c>
      <c r="GZ28" s="267">
        <v>1</v>
      </c>
      <c r="HA28" s="267">
        <v>1</v>
      </c>
      <c r="HB28" s="267">
        <v>1</v>
      </c>
      <c r="HC28" s="267">
        <v>1</v>
      </c>
      <c r="HD28" s="267">
        <v>1</v>
      </c>
      <c r="HE28" s="267">
        <v>1</v>
      </c>
      <c r="HF28" s="267">
        <v>1</v>
      </c>
      <c r="HH28" s="260">
        <v>1</v>
      </c>
      <c r="HI28" s="268">
        <v>1</v>
      </c>
      <c r="HJ28" s="268">
        <v>1</v>
      </c>
      <c r="HK28" s="268">
        <v>1</v>
      </c>
      <c r="HM28" s="260">
        <f t="shared" si="173"/>
        <v>26</v>
      </c>
      <c r="HN28" s="265">
        <v>1</v>
      </c>
      <c r="HO28" s="299">
        <v>0.95899999999999996</v>
      </c>
      <c r="HP28" s="299">
        <v>1.002</v>
      </c>
      <c r="HQ28" s="299">
        <v>0.99</v>
      </c>
      <c r="HR28" s="299">
        <v>0.997</v>
      </c>
      <c r="HS28" s="299">
        <v>0.996</v>
      </c>
      <c r="HT28" s="299">
        <v>1.004</v>
      </c>
      <c r="HU28" s="299">
        <v>1.004</v>
      </c>
      <c r="HV28" s="299">
        <v>0.99</v>
      </c>
      <c r="HW28" s="299">
        <v>0.995</v>
      </c>
      <c r="HX28" s="299">
        <v>1.006</v>
      </c>
      <c r="HY28" s="299">
        <v>1.0009999999999999</v>
      </c>
      <c r="HZ28" s="299">
        <v>1.006</v>
      </c>
      <c r="IA28" s="299">
        <v>0.997</v>
      </c>
      <c r="IB28" s="299">
        <v>1.002</v>
      </c>
      <c r="IC28" s="299">
        <v>0.999</v>
      </c>
      <c r="ID28" s="299">
        <v>1</v>
      </c>
      <c r="IE28" s="299">
        <v>1.0009999999999999</v>
      </c>
      <c r="IF28" s="299">
        <v>0.997</v>
      </c>
      <c r="IG28" s="299">
        <v>0.99299999999999999</v>
      </c>
      <c r="IH28" s="299">
        <v>0.997</v>
      </c>
      <c r="II28" s="299">
        <v>0.999</v>
      </c>
      <c r="IJ28" s="299">
        <v>1.0069999999999999</v>
      </c>
      <c r="IK28" s="299">
        <v>1.0129999999999999</v>
      </c>
      <c r="IL28" s="299">
        <v>1.01</v>
      </c>
      <c r="IM28" s="299">
        <v>1.012</v>
      </c>
    </row>
    <row r="29" spans="1:247" ht="12.75" hidden="1" customHeight="1" x14ac:dyDescent="0.2">
      <c r="A29" s="373">
        <f t="shared" si="172"/>
        <v>25</v>
      </c>
      <c r="B29" s="149" t="s">
        <v>125</v>
      </c>
      <c r="C29" s="150">
        <v>1.3540000000000001</v>
      </c>
      <c r="D29" s="150">
        <v>1.4530000000000001</v>
      </c>
      <c r="E29" s="150">
        <v>1.0620000000000001</v>
      </c>
      <c r="F29" s="150">
        <v>1.1850000000000001</v>
      </c>
      <c r="G29" s="150"/>
      <c r="H29" s="226">
        <f ca="1">OFFSET($HH29,0,'Расчет стоимости'!$M$10,1,1)</f>
        <v>1</v>
      </c>
      <c r="I29" s="150">
        <v>1</v>
      </c>
      <c r="J29" s="150">
        <v>1</v>
      </c>
      <c r="K29" s="149">
        <v>1</v>
      </c>
      <c r="L29" s="149">
        <v>1</v>
      </c>
      <c r="M29" s="372">
        <v>6.0000000000000001E-3</v>
      </c>
      <c r="N29" s="145">
        <v>4.0000000000000001E-3</v>
      </c>
      <c r="O29" s="145">
        <v>3.0000000000000001E-3</v>
      </c>
      <c r="P29" s="145">
        <v>6.9999999999999993E-3</v>
      </c>
      <c r="Q29" s="145">
        <v>0</v>
      </c>
      <c r="R29" s="153" t="s">
        <v>239</v>
      </c>
      <c r="T29" s="225">
        <f t="shared" si="174"/>
        <v>1</v>
      </c>
      <c r="U29" s="225">
        <f t="shared" si="174"/>
        <v>1</v>
      </c>
      <c r="V29" s="225">
        <f t="shared" si="174"/>
        <v>1</v>
      </c>
      <c r="W29" s="225">
        <f t="shared" si="174"/>
        <v>1</v>
      </c>
      <c r="X29" s="265">
        <f t="shared" si="166"/>
        <v>1</v>
      </c>
      <c r="Y29" s="145">
        <v>6.73</v>
      </c>
      <c r="Z29" s="145">
        <v>6.8</v>
      </c>
      <c r="AA29" s="145">
        <v>6.8</v>
      </c>
      <c r="AB29" s="145">
        <v>6.83</v>
      </c>
      <c r="AC29" s="145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6">
        <f t="shared" si="167"/>
        <v>1</v>
      </c>
      <c r="BE29" s="145">
        <v>3.91</v>
      </c>
      <c r="BF29" s="145">
        <v>3.87</v>
      </c>
      <c r="BG29" s="145">
        <v>3.87</v>
      </c>
      <c r="BH29" s="145">
        <v>3.89</v>
      </c>
      <c r="BI29" s="145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5">
        <f t="shared" si="168"/>
        <v>1</v>
      </c>
      <c r="CK29" s="145">
        <v>3.54</v>
      </c>
      <c r="CL29" s="145">
        <v>3.63</v>
      </c>
      <c r="CM29" s="145">
        <v>3.63</v>
      </c>
      <c r="CN29" s="145">
        <v>3.64</v>
      </c>
      <c r="CO29" s="145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6">
        <f t="shared" si="169"/>
        <v>1</v>
      </c>
      <c r="DQ29" s="145">
        <v>5.35</v>
      </c>
      <c r="DR29" s="145">
        <v>5.42</v>
      </c>
      <c r="DS29" s="145">
        <v>5.42</v>
      </c>
      <c r="DT29" s="145">
        <v>5.44</v>
      </c>
      <c r="DU29" s="145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5">
        <f t="shared" si="170"/>
        <v>1</v>
      </c>
      <c r="EW29" s="145">
        <v>4.1399999999999997</v>
      </c>
      <c r="EX29" s="145">
        <v>4.25</v>
      </c>
      <c r="EY29" s="145">
        <v>4.25</v>
      </c>
      <c r="EZ29" s="145">
        <v>4.2699999999999996</v>
      </c>
      <c r="FA29" s="145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6">
        <f t="shared" si="171"/>
        <v>1</v>
      </c>
      <c r="GC29" s="145">
        <v>11.83</v>
      </c>
      <c r="GD29" s="145">
        <v>12.04</v>
      </c>
      <c r="GE29" s="145">
        <v>12.04</v>
      </c>
      <c r="GF29" s="145">
        <v>12.09</v>
      </c>
      <c r="GG29" s="145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3">
        <v>1</v>
      </c>
      <c r="HI29" s="218">
        <v>1</v>
      </c>
      <c r="HJ29" s="229">
        <v>1</v>
      </c>
      <c r="HK29" s="229">
        <v>1</v>
      </c>
      <c r="HM29" s="373">
        <f t="shared" si="173"/>
        <v>1</v>
      </c>
      <c r="HN29" s="145">
        <v>1</v>
      </c>
    </row>
    <row r="30" spans="1:247" ht="12.75" hidden="1" customHeight="1" x14ac:dyDescent="0.2">
      <c r="A30" s="373">
        <f t="shared" si="172"/>
        <v>26</v>
      </c>
      <c r="B30" s="149" t="s">
        <v>1250</v>
      </c>
      <c r="C30" s="150">
        <v>1.2669999999999999</v>
      </c>
      <c r="D30" s="150">
        <v>1.1080000000000001</v>
      </c>
      <c r="E30" s="150">
        <v>1.8959999999999999</v>
      </c>
      <c r="F30" s="150">
        <v>0.95699999999999996</v>
      </c>
      <c r="G30" s="150"/>
      <c r="H30" s="226">
        <f ca="1">OFFSET($HH30,0,'Расчет стоимости'!$M$10,1,1)</f>
        <v>1</v>
      </c>
      <c r="I30" s="150">
        <v>1</v>
      </c>
      <c r="J30" s="150">
        <v>1</v>
      </c>
      <c r="K30" s="149">
        <v>1</v>
      </c>
      <c r="L30" s="149">
        <v>1</v>
      </c>
      <c r="M30" s="372">
        <v>2.1000000000000001E-2</v>
      </c>
      <c r="N30" s="145">
        <v>1.9E-2</v>
      </c>
      <c r="O30" s="145">
        <v>0.01</v>
      </c>
      <c r="P30" s="145">
        <v>3.2000000000000001E-2</v>
      </c>
      <c r="Q30" s="145">
        <v>0</v>
      </c>
      <c r="R30" s="153" t="s">
        <v>234</v>
      </c>
      <c r="T30" s="225">
        <f t="shared" si="174"/>
        <v>1</v>
      </c>
      <c r="U30" s="225">
        <f t="shared" si="174"/>
        <v>1</v>
      </c>
      <c r="V30" s="225">
        <f t="shared" si="174"/>
        <v>1</v>
      </c>
      <c r="W30" s="225">
        <f t="shared" si="174"/>
        <v>1</v>
      </c>
      <c r="X30" s="265">
        <f t="shared" si="166"/>
        <v>1</v>
      </c>
      <c r="Y30" s="145">
        <v>6.49</v>
      </c>
      <c r="Z30" s="145">
        <v>6.58</v>
      </c>
      <c r="AA30" s="145">
        <v>6.58</v>
      </c>
      <c r="AB30" s="145">
        <v>6.61</v>
      </c>
      <c r="AC30" s="145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6">
        <f t="shared" si="167"/>
        <v>1</v>
      </c>
      <c r="BE30" s="145">
        <v>3.86</v>
      </c>
      <c r="BF30" s="145">
        <v>3.96</v>
      </c>
      <c r="BG30" s="145">
        <v>3.96</v>
      </c>
      <c r="BH30" s="145">
        <v>3.98</v>
      </c>
      <c r="BI30" s="145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5">
        <f t="shared" si="168"/>
        <v>1</v>
      </c>
      <c r="CK30" s="145">
        <v>4.63</v>
      </c>
      <c r="CL30" s="145">
        <v>4.76</v>
      </c>
      <c r="CM30" s="145">
        <v>4.76</v>
      </c>
      <c r="CN30" s="145">
        <v>4.78</v>
      </c>
      <c r="CO30" s="145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6">
        <f t="shared" si="169"/>
        <v>1</v>
      </c>
      <c r="DQ30" s="145">
        <v>5.04</v>
      </c>
      <c r="DR30" s="145">
        <v>5.17</v>
      </c>
      <c r="DS30" s="145">
        <v>5.17</v>
      </c>
      <c r="DT30" s="145">
        <v>5.19</v>
      </c>
      <c r="DU30" s="145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5">
        <f t="shared" si="170"/>
        <v>1</v>
      </c>
      <c r="EW30" s="145">
        <v>5.28</v>
      </c>
      <c r="EX30" s="145">
        <v>5.41</v>
      </c>
      <c r="EY30" s="145">
        <v>5.41</v>
      </c>
      <c r="EZ30" s="145">
        <v>5.34</v>
      </c>
      <c r="FA30" s="145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6">
        <f t="shared" si="171"/>
        <v>1</v>
      </c>
      <c r="GC30" s="145">
        <v>13.51</v>
      </c>
      <c r="GD30" s="145">
        <v>13.87</v>
      </c>
      <c r="GE30" s="145">
        <v>13.87</v>
      </c>
      <c r="GF30" s="145">
        <v>13.93</v>
      </c>
      <c r="GG30" s="145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3">
        <v>1</v>
      </c>
      <c r="HI30" s="218">
        <v>1</v>
      </c>
      <c r="HJ30" s="229">
        <v>1</v>
      </c>
      <c r="HK30" s="229">
        <v>1</v>
      </c>
      <c r="HM30" s="373">
        <f t="shared" si="173"/>
        <v>1</v>
      </c>
      <c r="HN30" s="145">
        <v>1</v>
      </c>
    </row>
    <row r="31" spans="1:247" s="326" customFormat="1" ht="12.75" customHeight="1" x14ac:dyDescent="0.2">
      <c r="A31" s="321">
        <f t="shared" si="172"/>
        <v>27</v>
      </c>
      <c r="B31" s="322" t="s">
        <v>122</v>
      </c>
      <c r="C31" s="323">
        <v>1.657</v>
      </c>
      <c r="D31" s="323">
        <v>1.6120000000000001</v>
      </c>
      <c r="E31" s="323">
        <v>1.9570000000000001</v>
      </c>
      <c r="F31" s="323">
        <v>1.1359999999999999</v>
      </c>
      <c r="G31" s="323"/>
      <c r="H31" s="324">
        <f ca="1">OFFSET($HH31,0,'Расчет стоимости'!$M$10,1,1)</f>
        <v>1.0900000000000001</v>
      </c>
      <c r="I31" s="323">
        <v>1</v>
      </c>
      <c r="J31" s="323">
        <v>1</v>
      </c>
      <c r="K31" s="322">
        <v>1</v>
      </c>
      <c r="L31" s="322">
        <v>1</v>
      </c>
      <c r="M31" s="325">
        <v>7.0000000000000007E-2</v>
      </c>
      <c r="N31" s="326">
        <v>6.0999999999999999E-2</v>
      </c>
      <c r="O31" s="326">
        <v>2.7000000000000003E-2</v>
      </c>
      <c r="P31" s="326">
        <v>9.3000000000000013E-2</v>
      </c>
      <c r="Q31" s="326">
        <v>6.0000000000000001E-3</v>
      </c>
      <c r="R31" s="327" t="s">
        <v>240</v>
      </c>
      <c r="S31" s="326" t="s">
        <v>265</v>
      </c>
      <c r="T31" s="328">
        <f t="shared" si="174"/>
        <v>1</v>
      </c>
      <c r="U31" s="328">
        <f t="shared" si="174"/>
        <v>1</v>
      </c>
      <c r="V31" s="328">
        <f t="shared" si="174"/>
        <v>1</v>
      </c>
      <c r="W31" s="328">
        <f t="shared" si="174"/>
        <v>1</v>
      </c>
      <c r="X31" s="326">
        <f t="shared" si="166"/>
        <v>1</v>
      </c>
      <c r="Y31" s="326">
        <v>5.98</v>
      </c>
      <c r="Z31" s="326">
        <v>5.85</v>
      </c>
      <c r="AA31" s="326">
        <v>5.85</v>
      </c>
      <c r="AB31" s="326">
        <v>5.79</v>
      </c>
      <c r="AC31" s="326">
        <v>5.83</v>
      </c>
      <c r="AD31" s="326">
        <v>5.81</v>
      </c>
      <c r="AE31" s="326">
        <v>5.84</v>
      </c>
      <c r="AF31" s="326">
        <v>5.84</v>
      </c>
      <c r="AG31" s="326">
        <v>6.04</v>
      </c>
      <c r="AH31" s="326">
        <v>6.14</v>
      </c>
      <c r="AI31" s="326">
        <v>6.18</v>
      </c>
      <c r="AJ31" s="326">
        <v>6.18</v>
      </c>
      <c r="AK31" s="326">
        <v>6.28</v>
      </c>
      <c r="AL31" s="326">
        <v>6.37</v>
      </c>
      <c r="AM31" s="326">
        <v>6.39</v>
      </c>
      <c r="AN31" s="329">
        <v>6.43</v>
      </c>
      <c r="AO31" s="329">
        <v>1</v>
      </c>
      <c r="AP31" s="329">
        <v>1</v>
      </c>
      <c r="AQ31" s="329">
        <v>1</v>
      </c>
      <c r="AR31" s="329">
        <v>1</v>
      </c>
      <c r="AS31" s="329">
        <v>1</v>
      </c>
      <c r="AT31" s="329">
        <v>1</v>
      </c>
      <c r="AU31" s="329">
        <v>1</v>
      </c>
      <c r="AV31" s="329">
        <v>1</v>
      </c>
      <c r="AW31" s="329">
        <v>1</v>
      </c>
      <c r="AX31" s="329">
        <v>1</v>
      </c>
      <c r="AY31" s="329">
        <v>1</v>
      </c>
      <c r="AZ31" s="329">
        <v>1</v>
      </c>
      <c r="BA31" s="329">
        <v>1</v>
      </c>
      <c r="BB31" s="329">
        <v>1</v>
      </c>
      <c r="BD31" s="326">
        <f t="shared" si="167"/>
        <v>1</v>
      </c>
      <c r="BE31" s="326">
        <v>4.4000000000000004</v>
      </c>
      <c r="BF31" s="326">
        <v>4.46</v>
      </c>
      <c r="BG31" s="326">
        <v>4.46</v>
      </c>
      <c r="BH31" s="326">
        <v>4.4800000000000004</v>
      </c>
      <c r="BI31" s="326">
        <v>4.54</v>
      </c>
      <c r="BJ31" s="326">
        <v>4.5199999999999996</v>
      </c>
      <c r="BK31" s="326">
        <v>4.54</v>
      </c>
      <c r="BL31" s="326">
        <v>4.54</v>
      </c>
      <c r="BM31" s="326">
        <v>4.7</v>
      </c>
      <c r="BN31" s="326">
        <v>4.78</v>
      </c>
      <c r="BO31" s="326">
        <v>4.8099999999999996</v>
      </c>
      <c r="BP31" s="326">
        <v>4.8099999999999996</v>
      </c>
      <c r="BQ31" s="326">
        <v>4.8899999999999997</v>
      </c>
      <c r="BR31" s="326">
        <v>4.96</v>
      </c>
      <c r="BS31" s="326">
        <v>4.9800000000000004</v>
      </c>
      <c r="BT31" s="329">
        <v>5.01</v>
      </c>
      <c r="BU31" s="329">
        <v>1</v>
      </c>
      <c r="BV31" s="329">
        <v>1</v>
      </c>
      <c r="BW31" s="329">
        <v>1</v>
      </c>
      <c r="BX31" s="329">
        <v>1</v>
      </c>
      <c r="BY31" s="329">
        <v>1</v>
      </c>
      <c r="BZ31" s="329">
        <v>1</v>
      </c>
      <c r="CA31" s="329">
        <v>1</v>
      </c>
      <c r="CB31" s="329">
        <v>1</v>
      </c>
      <c r="CC31" s="329">
        <v>1</v>
      </c>
      <c r="CD31" s="329">
        <v>1</v>
      </c>
      <c r="CE31" s="329">
        <v>1</v>
      </c>
      <c r="CF31" s="329">
        <v>1</v>
      </c>
      <c r="CG31" s="329">
        <v>1</v>
      </c>
      <c r="CH31" s="329">
        <v>1</v>
      </c>
      <c r="CJ31" s="326">
        <f t="shared" si="168"/>
        <v>1</v>
      </c>
      <c r="CK31" s="326">
        <v>5.51</v>
      </c>
      <c r="CL31" s="326">
        <v>5.58</v>
      </c>
      <c r="CM31" s="326">
        <v>5.58</v>
      </c>
      <c r="CN31" s="326">
        <v>5.57</v>
      </c>
      <c r="CO31" s="326">
        <v>5.68</v>
      </c>
      <c r="CP31" s="326">
        <v>5.57</v>
      </c>
      <c r="CQ31" s="329">
        <v>1</v>
      </c>
      <c r="CR31" s="329">
        <v>1</v>
      </c>
      <c r="CS31" s="329">
        <v>1</v>
      </c>
      <c r="CT31" s="329">
        <v>1</v>
      </c>
      <c r="CU31" s="329">
        <v>1</v>
      </c>
      <c r="CV31" s="329">
        <v>1</v>
      </c>
      <c r="CW31" s="329">
        <v>1</v>
      </c>
      <c r="CX31" s="329">
        <v>1</v>
      </c>
      <c r="CY31" s="329">
        <v>1</v>
      </c>
      <c r="CZ31" s="329">
        <v>1</v>
      </c>
      <c r="DA31" s="329">
        <v>1</v>
      </c>
      <c r="DB31" s="329">
        <v>1</v>
      </c>
      <c r="DC31" s="329">
        <v>1</v>
      </c>
      <c r="DD31" s="329">
        <v>1</v>
      </c>
      <c r="DE31" s="329">
        <v>1</v>
      </c>
      <c r="DF31" s="329">
        <v>1</v>
      </c>
      <c r="DG31" s="329">
        <v>1</v>
      </c>
      <c r="DH31" s="329">
        <v>1</v>
      </c>
      <c r="DI31" s="329">
        <v>1</v>
      </c>
      <c r="DJ31" s="329">
        <v>1</v>
      </c>
      <c r="DK31" s="329">
        <v>1</v>
      </c>
      <c r="DL31" s="329">
        <v>1</v>
      </c>
      <c r="DM31" s="329">
        <v>1</v>
      </c>
      <c r="DN31" s="329">
        <v>1</v>
      </c>
      <c r="DP31" s="326">
        <f t="shared" si="169"/>
        <v>1</v>
      </c>
      <c r="DQ31" s="326">
        <v>5.0199999999999996</v>
      </c>
      <c r="DR31" s="326">
        <v>5.03</v>
      </c>
      <c r="DS31" s="326">
        <v>5.03</v>
      </c>
      <c r="DT31" s="326">
        <v>5.04</v>
      </c>
      <c r="DU31" s="326">
        <v>5.1100000000000003</v>
      </c>
      <c r="DV31" s="326">
        <v>5.09</v>
      </c>
      <c r="DW31" s="326">
        <v>5.12</v>
      </c>
      <c r="DX31" s="326">
        <v>5.12</v>
      </c>
      <c r="DY31" s="326">
        <v>5.3</v>
      </c>
      <c r="DZ31" s="326">
        <v>5.39</v>
      </c>
      <c r="EA31" s="326">
        <v>5.43</v>
      </c>
      <c r="EB31" s="326">
        <v>5.43</v>
      </c>
      <c r="EC31" s="326">
        <v>5.52</v>
      </c>
      <c r="ED31" s="326">
        <v>5.6</v>
      </c>
      <c r="EE31" s="326">
        <v>5.62</v>
      </c>
      <c r="EF31" s="329">
        <v>5.65</v>
      </c>
      <c r="EG31" s="329">
        <v>1</v>
      </c>
      <c r="EH31" s="329">
        <v>1</v>
      </c>
      <c r="EI31" s="329">
        <v>1</v>
      </c>
      <c r="EJ31" s="329">
        <v>1</v>
      </c>
      <c r="EK31" s="329">
        <v>1</v>
      </c>
      <c r="EL31" s="329">
        <v>1</v>
      </c>
      <c r="EM31" s="329">
        <v>1</v>
      </c>
      <c r="EN31" s="329">
        <v>1</v>
      </c>
      <c r="EO31" s="329">
        <v>1</v>
      </c>
      <c r="EP31" s="329">
        <v>1</v>
      </c>
      <c r="EQ31" s="329">
        <v>1</v>
      </c>
      <c r="ER31" s="329">
        <v>1</v>
      </c>
      <c r="ES31" s="329">
        <v>1</v>
      </c>
      <c r="ET31" s="329">
        <v>1</v>
      </c>
      <c r="EV31" s="326">
        <f t="shared" si="170"/>
        <v>1</v>
      </c>
      <c r="EW31" s="326">
        <v>6.99</v>
      </c>
      <c r="EX31" s="326">
        <v>6.94</v>
      </c>
      <c r="EY31" s="326">
        <v>6.94</v>
      </c>
      <c r="EZ31" s="326">
        <v>6.95</v>
      </c>
      <c r="FA31" s="326">
        <v>6.99</v>
      </c>
      <c r="FB31" s="326">
        <v>6.96</v>
      </c>
      <c r="FC31" s="329">
        <v>1</v>
      </c>
      <c r="FD31" s="329">
        <v>1</v>
      </c>
      <c r="FE31" s="329">
        <v>1</v>
      </c>
      <c r="FF31" s="329">
        <v>1</v>
      </c>
      <c r="FG31" s="329">
        <v>1</v>
      </c>
      <c r="FH31" s="329">
        <v>1</v>
      </c>
      <c r="FI31" s="329">
        <v>1</v>
      </c>
      <c r="FJ31" s="329">
        <v>1</v>
      </c>
      <c r="FK31" s="329">
        <v>1</v>
      </c>
      <c r="FL31" s="329">
        <v>1</v>
      </c>
      <c r="FM31" s="329">
        <v>1</v>
      </c>
      <c r="FN31" s="329">
        <v>1</v>
      </c>
      <c r="FO31" s="329">
        <v>1</v>
      </c>
      <c r="FP31" s="329">
        <v>1</v>
      </c>
      <c r="FQ31" s="329">
        <v>1</v>
      </c>
      <c r="FR31" s="329">
        <v>1</v>
      </c>
      <c r="FS31" s="329">
        <v>1</v>
      </c>
      <c r="FT31" s="329">
        <v>1</v>
      </c>
      <c r="FU31" s="329">
        <v>1</v>
      </c>
      <c r="FV31" s="329">
        <v>1</v>
      </c>
      <c r="FW31" s="329">
        <v>1</v>
      </c>
      <c r="FX31" s="329">
        <v>1</v>
      </c>
      <c r="FY31" s="329">
        <v>1</v>
      </c>
      <c r="FZ31" s="329">
        <v>1</v>
      </c>
      <c r="GB31" s="326">
        <f t="shared" si="171"/>
        <v>1</v>
      </c>
      <c r="GC31" s="326">
        <v>9.07</v>
      </c>
      <c r="GD31" s="326">
        <v>9.27</v>
      </c>
      <c r="GE31" s="326">
        <v>9.27</v>
      </c>
      <c r="GF31" s="326">
        <v>9.31</v>
      </c>
      <c r="GG31" s="326">
        <v>9.51</v>
      </c>
      <c r="GH31" s="326">
        <v>9.4700000000000006</v>
      </c>
      <c r="GI31" s="326">
        <v>9.52</v>
      </c>
      <c r="GJ31" s="326">
        <v>9.52</v>
      </c>
      <c r="GK31" s="326">
        <v>9.85</v>
      </c>
      <c r="GL31" s="326">
        <v>10.029999999999999</v>
      </c>
      <c r="GM31" s="326">
        <v>10.1</v>
      </c>
      <c r="GN31" s="326">
        <v>10.1</v>
      </c>
      <c r="GO31" s="326">
        <v>10.26</v>
      </c>
      <c r="GP31" s="326">
        <v>10.4</v>
      </c>
      <c r="GQ31" s="326">
        <v>10.45</v>
      </c>
      <c r="GR31" s="329">
        <v>10.51</v>
      </c>
      <c r="GS31" s="329">
        <v>1</v>
      </c>
      <c r="GT31" s="329">
        <v>1</v>
      </c>
      <c r="GU31" s="329">
        <v>1</v>
      </c>
      <c r="GV31" s="329">
        <v>1</v>
      </c>
      <c r="GW31" s="329">
        <v>1</v>
      </c>
      <c r="GX31" s="329">
        <v>1</v>
      </c>
      <c r="GY31" s="329">
        <v>1</v>
      </c>
      <c r="GZ31" s="329">
        <v>1</v>
      </c>
      <c r="HA31" s="329">
        <v>1</v>
      </c>
      <c r="HB31" s="329">
        <v>1</v>
      </c>
      <c r="HC31" s="329">
        <v>1</v>
      </c>
      <c r="HD31" s="329">
        <v>1</v>
      </c>
      <c r="HE31" s="329">
        <v>1</v>
      </c>
      <c r="HF31" s="329">
        <v>1</v>
      </c>
      <c r="HH31" s="321">
        <v>1</v>
      </c>
      <c r="HI31" s="330">
        <v>1.0900000000000001</v>
      </c>
      <c r="HJ31" s="330">
        <v>1.0900000000000001</v>
      </c>
      <c r="HK31" s="330">
        <v>1.0900000000000001</v>
      </c>
      <c r="HM31" s="321">
        <f t="shared" si="173"/>
        <v>1</v>
      </c>
      <c r="HN31" s="326">
        <v>1</v>
      </c>
    </row>
    <row r="32" spans="1:247" s="345" customFormat="1" x14ac:dyDescent="0.2">
      <c r="A32" s="340">
        <f t="shared" si="172"/>
        <v>28</v>
      </c>
      <c r="B32" s="341" t="s">
        <v>124</v>
      </c>
      <c r="C32" s="342">
        <v>1.17</v>
      </c>
      <c r="D32" s="342">
        <v>1.0760000000000001</v>
      </c>
      <c r="E32" s="342">
        <v>1.516</v>
      </c>
      <c r="F32" s="342">
        <v>1.0780000000000001</v>
      </c>
      <c r="G32" s="342"/>
      <c r="H32" s="343">
        <f ca="1">OFFSET($HH32,0,'Расчет стоимости'!$M$10,1,1)</f>
        <v>1</v>
      </c>
      <c r="I32" s="342">
        <v>1</v>
      </c>
      <c r="J32" s="342">
        <v>1</v>
      </c>
      <c r="K32" s="341">
        <v>1</v>
      </c>
      <c r="L32" s="341">
        <v>1</v>
      </c>
      <c r="M32" s="344">
        <v>2.1000000000000001E-2</v>
      </c>
      <c r="N32" s="345">
        <v>1.9E-2</v>
      </c>
      <c r="O32" s="345">
        <v>0.01</v>
      </c>
      <c r="P32" s="345">
        <v>3.2000000000000001E-2</v>
      </c>
      <c r="Q32" s="345">
        <v>0</v>
      </c>
      <c r="R32" s="346" t="s">
        <v>234</v>
      </c>
      <c r="T32" s="346">
        <f t="shared" si="174"/>
        <v>1</v>
      </c>
      <c r="U32" s="346">
        <f t="shared" si="174"/>
        <v>1</v>
      </c>
      <c r="V32" s="346">
        <f t="shared" si="174"/>
        <v>1</v>
      </c>
      <c r="W32" s="346">
        <f t="shared" si="174"/>
        <v>1</v>
      </c>
      <c r="X32" s="345">
        <f t="shared" si="166"/>
        <v>1</v>
      </c>
      <c r="Y32" s="345">
        <v>5.82</v>
      </c>
      <c r="Z32" s="345">
        <v>5.87</v>
      </c>
      <c r="AA32" s="345">
        <v>5.87</v>
      </c>
      <c r="AB32" s="345">
        <v>5.89</v>
      </c>
      <c r="AC32" s="345">
        <v>6.01</v>
      </c>
      <c r="AD32" s="345">
        <v>5.99</v>
      </c>
      <c r="AE32" s="345">
        <v>6.02</v>
      </c>
      <c r="AF32" s="345">
        <v>6.02</v>
      </c>
      <c r="AG32" s="345">
        <v>6.16</v>
      </c>
      <c r="AH32" s="345">
        <v>6.22</v>
      </c>
      <c r="AI32" s="345">
        <v>6.26</v>
      </c>
      <c r="AJ32" s="345">
        <v>6.26</v>
      </c>
      <c r="AK32" s="345">
        <v>6.36</v>
      </c>
      <c r="AL32" s="345">
        <v>6.45</v>
      </c>
      <c r="AM32" s="345">
        <v>6.47</v>
      </c>
      <c r="AN32" s="347">
        <v>6.51</v>
      </c>
      <c r="AO32" s="347">
        <v>1</v>
      </c>
      <c r="AP32" s="347">
        <v>1</v>
      </c>
      <c r="AQ32" s="347">
        <v>1</v>
      </c>
      <c r="AR32" s="347">
        <v>1</v>
      </c>
      <c r="AS32" s="347">
        <v>1</v>
      </c>
      <c r="AT32" s="347">
        <v>1</v>
      </c>
      <c r="AU32" s="347">
        <v>1</v>
      </c>
      <c r="AV32" s="347">
        <v>1</v>
      </c>
      <c r="AW32" s="347">
        <v>1</v>
      </c>
      <c r="AX32" s="347">
        <v>1</v>
      </c>
      <c r="AY32" s="347">
        <v>1</v>
      </c>
      <c r="AZ32" s="347">
        <v>1</v>
      </c>
      <c r="BA32" s="347">
        <v>1</v>
      </c>
      <c r="BB32" s="347">
        <v>1</v>
      </c>
      <c r="BD32" s="345">
        <f t="shared" si="167"/>
        <v>1</v>
      </c>
      <c r="BE32" s="345">
        <v>3.68</v>
      </c>
      <c r="BF32" s="345">
        <v>3.78</v>
      </c>
      <c r="BG32" s="345">
        <v>3.78</v>
      </c>
      <c r="BH32" s="345">
        <v>3.8</v>
      </c>
      <c r="BI32" s="345">
        <v>3.88</v>
      </c>
      <c r="BJ32" s="345">
        <v>3.86</v>
      </c>
      <c r="BK32" s="345">
        <v>3.88</v>
      </c>
      <c r="BL32" s="345">
        <v>3.88</v>
      </c>
      <c r="BM32" s="345">
        <v>4.0199999999999996</v>
      </c>
      <c r="BN32" s="345">
        <v>4.09</v>
      </c>
      <c r="BO32" s="345">
        <v>4.12</v>
      </c>
      <c r="BP32" s="345">
        <v>4.12</v>
      </c>
      <c r="BQ32" s="345">
        <v>4.1900000000000004</v>
      </c>
      <c r="BR32" s="345">
        <v>4.18</v>
      </c>
      <c r="BS32" s="345">
        <v>4.1500000000000004</v>
      </c>
      <c r="BT32" s="347">
        <v>4.17</v>
      </c>
      <c r="BU32" s="347">
        <v>1</v>
      </c>
      <c r="BV32" s="347">
        <v>1</v>
      </c>
      <c r="BW32" s="347">
        <v>1</v>
      </c>
      <c r="BX32" s="347">
        <v>1</v>
      </c>
      <c r="BY32" s="347">
        <v>1</v>
      </c>
      <c r="BZ32" s="347">
        <v>1</v>
      </c>
      <c r="CA32" s="347">
        <v>1</v>
      </c>
      <c r="CB32" s="347">
        <v>1</v>
      </c>
      <c r="CC32" s="347">
        <v>1</v>
      </c>
      <c r="CD32" s="347">
        <v>1</v>
      </c>
      <c r="CE32" s="347">
        <v>1</v>
      </c>
      <c r="CF32" s="347">
        <v>1</v>
      </c>
      <c r="CG32" s="347">
        <v>1</v>
      </c>
      <c r="CH32" s="347">
        <v>1</v>
      </c>
      <c r="CJ32" s="345">
        <f t="shared" si="168"/>
        <v>1</v>
      </c>
      <c r="CK32" s="345">
        <v>4.17</v>
      </c>
      <c r="CL32" s="345">
        <v>4.28</v>
      </c>
      <c r="CM32" s="345">
        <v>4.28</v>
      </c>
      <c r="CN32" s="345">
        <v>4.3</v>
      </c>
      <c r="CO32" s="345">
        <v>4.3899999999999997</v>
      </c>
      <c r="CP32" s="345">
        <v>4.37</v>
      </c>
      <c r="CQ32" s="347">
        <v>1</v>
      </c>
      <c r="CR32" s="347">
        <v>1</v>
      </c>
      <c r="CS32" s="347">
        <v>1</v>
      </c>
      <c r="CT32" s="347">
        <v>1</v>
      </c>
      <c r="CU32" s="347">
        <v>1</v>
      </c>
      <c r="CV32" s="347">
        <v>1</v>
      </c>
      <c r="CW32" s="347">
        <v>1</v>
      </c>
      <c r="CX32" s="347">
        <v>1</v>
      </c>
      <c r="CY32" s="347">
        <v>1</v>
      </c>
      <c r="CZ32" s="347">
        <v>1</v>
      </c>
      <c r="DA32" s="347">
        <v>1</v>
      </c>
      <c r="DB32" s="347">
        <v>1</v>
      </c>
      <c r="DC32" s="347">
        <v>1</v>
      </c>
      <c r="DD32" s="347">
        <v>1</v>
      </c>
      <c r="DE32" s="347">
        <v>1</v>
      </c>
      <c r="DF32" s="347">
        <v>1</v>
      </c>
      <c r="DG32" s="347">
        <v>1</v>
      </c>
      <c r="DH32" s="347">
        <v>1</v>
      </c>
      <c r="DI32" s="347">
        <v>1</v>
      </c>
      <c r="DJ32" s="347">
        <v>1</v>
      </c>
      <c r="DK32" s="347">
        <v>1</v>
      </c>
      <c r="DL32" s="347">
        <v>1</v>
      </c>
      <c r="DM32" s="347">
        <v>1</v>
      </c>
      <c r="DN32" s="347">
        <v>1</v>
      </c>
      <c r="DP32" s="345">
        <f t="shared" si="169"/>
        <v>1</v>
      </c>
      <c r="DQ32" s="345">
        <v>4.1500000000000004</v>
      </c>
      <c r="DR32" s="345">
        <v>4.26</v>
      </c>
      <c r="DS32" s="345">
        <v>4.26</v>
      </c>
      <c r="DT32" s="345">
        <v>4.28</v>
      </c>
      <c r="DU32" s="345">
        <v>4.37</v>
      </c>
      <c r="DV32" s="345">
        <v>4.3499999999999996</v>
      </c>
      <c r="DW32" s="345">
        <v>4.37</v>
      </c>
      <c r="DX32" s="345">
        <v>4.37</v>
      </c>
      <c r="DY32" s="345">
        <v>4.5199999999999996</v>
      </c>
      <c r="DZ32" s="345">
        <v>4.5999999999999996</v>
      </c>
      <c r="EA32" s="345">
        <v>4.63</v>
      </c>
      <c r="EB32" s="345">
        <v>4.63</v>
      </c>
      <c r="EC32" s="345">
        <v>4.7</v>
      </c>
      <c r="ED32" s="345">
        <v>4.7699999999999996</v>
      </c>
      <c r="EE32" s="345">
        <v>4.78</v>
      </c>
      <c r="EF32" s="347">
        <v>4.8099999999999996</v>
      </c>
      <c r="EG32" s="347">
        <v>1</v>
      </c>
      <c r="EH32" s="347">
        <v>1</v>
      </c>
      <c r="EI32" s="347">
        <v>1</v>
      </c>
      <c r="EJ32" s="347">
        <v>1</v>
      </c>
      <c r="EK32" s="347">
        <v>1</v>
      </c>
      <c r="EL32" s="347">
        <v>1</v>
      </c>
      <c r="EM32" s="347">
        <v>1</v>
      </c>
      <c r="EN32" s="347">
        <v>1</v>
      </c>
      <c r="EO32" s="347">
        <v>1</v>
      </c>
      <c r="EP32" s="347">
        <v>1</v>
      </c>
      <c r="EQ32" s="347">
        <v>1</v>
      </c>
      <c r="ER32" s="347">
        <v>1</v>
      </c>
      <c r="ES32" s="347">
        <v>1</v>
      </c>
      <c r="ET32" s="347">
        <v>1</v>
      </c>
      <c r="EV32" s="345">
        <f t="shared" si="170"/>
        <v>1</v>
      </c>
      <c r="EW32" s="345">
        <v>4.6100000000000003</v>
      </c>
      <c r="EX32" s="345">
        <v>4.74</v>
      </c>
      <c r="EY32" s="345">
        <v>4.74</v>
      </c>
      <c r="EZ32" s="345">
        <v>4.76</v>
      </c>
      <c r="FA32" s="345">
        <v>4.8600000000000003</v>
      </c>
      <c r="FB32" s="345">
        <v>4.84</v>
      </c>
      <c r="FC32" s="347">
        <v>1</v>
      </c>
      <c r="FD32" s="347">
        <v>1</v>
      </c>
      <c r="FE32" s="347">
        <v>1</v>
      </c>
      <c r="FF32" s="347">
        <v>1</v>
      </c>
      <c r="FG32" s="347">
        <v>1</v>
      </c>
      <c r="FH32" s="347">
        <v>1</v>
      </c>
      <c r="FI32" s="347">
        <v>1</v>
      </c>
      <c r="FJ32" s="347">
        <v>1</v>
      </c>
      <c r="FK32" s="347">
        <v>1</v>
      </c>
      <c r="FL32" s="347">
        <v>1</v>
      </c>
      <c r="FM32" s="347">
        <v>1</v>
      </c>
      <c r="FN32" s="347">
        <v>1</v>
      </c>
      <c r="FO32" s="347">
        <v>1</v>
      </c>
      <c r="FP32" s="347">
        <v>1</v>
      </c>
      <c r="FQ32" s="347">
        <v>1</v>
      </c>
      <c r="FR32" s="347">
        <v>1</v>
      </c>
      <c r="FS32" s="347">
        <v>1</v>
      </c>
      <c r="FT32" s="347">
        <v>1</v>
      </c>
      <c r="FU32" s="347">
        <v>1</v>
      </c>
      <c r="FV32" s="347">
        <v>1</v>
      </c>
      <c r="FW32" s="347">
        <v>1</v>
      </c>
      <c r="FX32" s="347">
        <v>1</v>
      </c>
      <c r="FY32" s="347">
        <v>1</v>
      </c>
      <c r="FZ32" s="347">
        <v>1</v>
      </c>
      <c r="GB32" s="345">
        <f t="shared" si="171"/>
        <v>1</v>
      </c>
      <c r="GC32" s="345">
        <v>7.46</v>
      </c>
      <c r="GD32" s="345">
        <v>7.66</v>
      </c>
      <c r="GE32" s="345">
        <v>7.66</v>
      </c>
      <c r="GF32" s="345">
        <v>7.69</v>
      </c>
      <c r="GG32" s="345">
        <v>7.85</v>
      </c>
      <c r="GH32" s="345">
        <v>7.82</v>
      </c>
      <c r="GI32" s="345">
        <v>7.86</v>
      </c>
      <c r="GJ32" s="345">
        <v>7.86</v>
      </c>
      <c r="GK32" s="345">
        <v>8.14</v>
      </c>
      <c r="GL32" s="345">
        <v>8.2899999999999991</v>
      </c>
      <c r="GM32" s="345">
        <v>8.35</v>
      </c>
      <c r="GN32" s="345">
        <v>8.35</v>
      </c>
      <c r="GO32" s="345">
        <v>8.48</v>
      </c>
      <c r="GP32" s="345">
        <v>8.6</v>
      </c>
      <c r="GQ32" s="345">
        <v>8.6300000000000008</v>
      </c>
      <c r="GR32" s="347">
        <v>8.68</v>
      </c>
      <c r="GS32" s="347">
        <v>1</v>
      </c>
      <c r="GT32" s="347">
        <v>1</v>
      </c>
      <c r="GU32" s="347">
        <v>1</v>
      </c>
      <c r="GV32" s="347">
        <v>1</v>
      </c>
      <c r="GW32" s="347">
        <v>1</v>
      </c>
      <c r="GX32" s="347">
        <v>1</v>
      </c>
      <c r="GY32" s="347">
        <v>1</v>
      </c>
      <c r="GZ32" s="347">
        <v>1</v>
      </c>
      <c r="HA32" s="347">
        <v>1</v>
      </c>
      <c r="HB32" s="347">
        <v>1</v>
      </c>
      <c r="HC32" s="347">
        <v>1</v>
      </c>
      <c r="HD32" s="347">
        <v>1</v>
      </c>
      <c r="HE32" s="347">
        <v>1</v>
      </c>
      <c r="HF32" s="347">
        <v>1</v>
      </c>
      <c r="HH32" s="340">
        <v>1</v>
      </c>
      <c r="HI32" s="348">
        <v>1</v>
      </c>
      <c r="HJ32" s="348">
        <v>1</v>
      </c>
      <c r="HK32" s="348">
        <v>1</v>
      </c>
      <c r="HM32" s="340">
        <f t="shared" si="173"/>
        <v>1</v>
      </c>
      <c r="HN32" s="345">
        <v>1</v>
      </c>
    </row>
    <row r="33" spans="1:225" s="354" customFormat="1" ht="12.75" customHeight="1" x14ac:dyDescent="0.2">
      <c r="A33" s="349">
        <f t="shared" si="172"/>
        <v>29</v>
      </c>
      <c r="B33" s="350" t="s">
        <v>294</v>
      </c>
      <c r="C33" s="351">
        <v>0.92300000000000004</v>
      </c>
      <c r="D33" s="351">
        <v>0.93100000000000005</v>
      </c>
      <c r="E33" s="351">
        <v>0.85399999999999998</v>
      </c>
      <c r="F33" s="351">
        <v>1.073</v>
      </c>
      <c r="G33" s="351"/>
      <c r="H33" s="352">
        <f ca="1">OFFSET($HH33,0,'Расчет стоимости'!$M$10,1,1)</f>
        <v>1</v>
      </c>
      <c r="I33" s="351">
        <v>1</v>
      </c>
      <c r="J33" s="351">
        <v>1</v>
      </c>
      <c r="K33" s="350">
        <v>1</v>
      </c>
      <c r="L33" s="350">
        <v>1</v>
      </c>
      <c r="M33" s="353">
        <v>1.2E-2</v>
      </c>
      <c r="N33" s="354">
        <v>0.01</v>
      </c>
      <c r="O33" s="354">
        <v>6.0000000000000001E-3</v>
      </c>
      <c r="P33" s="354">
        <v>1.6E-2</v>
      </c>
      <c r="Q33" s="354">
        <v>0</v>
      </c>
      <c r="R33" s="355" t="s">
        <v>241</v>
      </c>
      <c r="T33" s="355">
        <f t="shared" si="174"/>
        <v>1</v>
      </c>
      <c r="U33" s="355">
        <f t="shared" si="174"/>
        <v>1</v>
      </c>
      <c r="V33" s="355">
        <f t="shared" si="174"/>
        <v>1</v>
      </c>
      <c r="W33" s="355">
        <f t="shared" si="174"/>
        <v>1</v>
      </c>
      <c r="X33" s="354">
        <f t="shared" si="166"/>
        <v>1</v>
      </c>
      <c r="Y33" s="354">
        <v>6.09</v>
      </c>
      <c r="Z33" s="354">
        <v>6.25</v>
      </c>
      <c r="AA33" s="354">
        <v>6.25</v>
      </c>
      <c r="AB33" s="354">
        <v>6.28</v>
      </c>
      <c r="AC33" s="354">
        <v>6.41</v>
      </c>
      <c r="AD33" s="354">
        <v>6.38</v>
      </c>
      <c r="AE33" s="354">
        <v>6.42</v>
      </c>
      <c r="AF33" s="354">
        <v>6.42</v>
      </c>
      <c r="AG33" s="354">
        <v>6.64</v>
      </c>
      <c r="AH33" s="354">
        <v>6.75</v>
      </c>
      <c r="AI33" s="354">
        <v>6.8</v>
      </c>
      <c r="AJ33" s="354">
        <v>6.8</v>
      </c>
      <c r="AK33" s="354">
        <v>6.91</v>
      </c>
      <c r="AL33" s="354">
        <v>6.91</v>
      </c>
      <c r="AM33" s="354">
        <v>6.94</v>
      </c>
      <c r="AN33" s="356">
        <v>6.98</v>
      </c>
      <c r="AO33" s="356">
        <v>1</v>
      </c>
      <c r="AP33" s="356">
        <v>1</v>
      </c>
      <c r="AQ33" s="356">
        <v>1</v>
      </c>
      <c r="AR33" s="356">
        <v>1</v>
      </c>
      <c r="AS33" s="356">
        <v>1</v>
      </c>
      <c r="AT33" s="356">
        <v>1</v>
      </c>
      <c r="AU33" s="356">
        <v>1</v>
      </c>
      <c r="AV33" s="356">
        <v>1</v>
      </c>
      <c r="AW33" s="356">
        <v>1</v>
      </c>
      <c r="AX33" s="356">
        <v>1</v>
      </c>
      <c r="AY33" s="356">
        <v>1</v>
      </c>
      <c r="AZ33" s="356">
        <v>1</v>
      </c>
      <c r="BA33" s="356">
        <v>1</v>
      </c>
      <c r="BB33" s="356">
        <v>1</v>
      </c>
      <c r="BD33" s="354">
        <f t="shared" si="167"/>
        <v>1</v>
      </c>
      <c r="BE33" s="354">
        <v>4.33</v>
      </c>
      <c r="BF33" s="354">
        <v>4.3499999999999996</v>
      </c>
      <c r="BG33" s="354">
        <v>4.3499999999999996</v>
      </c>
      <c r="BH33" s="354">
        <v>4.37</v>
      </c>
      <c r="BI33" s="354">
        <v>4.46</v>
      </c>
      <c r="BJ33" s="354">
        <v>4.38</v>
      </c>
      <c r="BK33" s="354">
        <v>4.4000000000000004</v>
      </c>
      <c r="BL33" s="354">
        <v>4.4000000000000004</v>
      </c>
      <c r="BM33" s="354">
        <v>4.45</v>
      </c>
      <c r="BN33" s="354">
        <v>4.53</v>
      </c>
      <c r="BO33" s="354">
        <v>4.5599999999999996</v>
      </c>
      <c r="BP33" s="354">
        <v>4.5599999999999996</v>
      </c>
      <c r="BQ33" s="354">
        <v>4.63</v>
      </c>
      <c r="BR33" s="354">
        <v>4.63</v>
      </c>
      <c r="BS33" s="354">
        <v>4.6500000000000004</v>
      </c>
      <c r="BT33" s="356">
        <v>4.68</v>
      </c>
      <c r="BU33" s="356">
        <v>1</v>
      </c>
      <c r="BV33" s="356">
        <v>1</v>
      </c>
      <c r="BW33" s="356">
        <v>1</v>
      </c>
      <c r="BX33" s="356">
        <v>1</v>
      </c>
      <c r="BY33" s="356">
        <v>1</v>
      </c>
      <c r="BZ33" s="356">
        <v>1</v>
      </c>
      <c r="CA33" s="356">
        <v>1</v>
      </c>
      <c r="CB33" s="356">
        <v>1</v>
      </c>
      <c r="CC33" s="356">
        <v>1</v>
      </c>
      <c r="CD33" s="356">
        <v>1</v>
      </c>
      <c r="CE33" s="356">
        <v>1</v>
      </c>
      <c r="CF33" s="356">
        <v>1</v>
      </c>
      <c r="CG33" s="356">
        <v>1</v>
      </c>
      <c r="CH33" s="356">
        <v>1</v>
      </c>
      <c r="CJ33" s="354">
        <f t="shared" si="168"/>
        <v>1</v>
      </c>
      <c r="CK33" s="354">
        <v>4.8499999999999996</v>
      </c>
      <c r="CL33" s="354">
        <v>4.8600000000000003</v>
      </c>
      <c r="CM33" s="354">
        <v>4.8600000000000003</v>
      </c>
      <c r="CN33" s="354">
        <v>4.88</v>
      </c>
      <c r="CO33" s="354">
        <v>4.93</v>
      </c>
      <c r="CP33" s="354">
        <v>4.83</v>
      </c>
      <c r="CQ33" s="347">
        <v>1</v>
      </c>
      <c r="CR33" s="347">
        <v>1</v>
      </c>
      <c r="CS33" s="347">
        <v>1</v>
      </c>
      <c r="CT33" s="356">
        <v>1</v>
      </c>
      <c r="CU33" s="356">
        <v>1</v>
      </c>
      <c r="CV33" s="356">
        <v>1</v>
      </c>
      <c r="CW33" s="356">
        <v>1</v>
      </c>
      <c r="CX33" s="356">
        <v>1</v>
      </c>
      <c r="CY33" s="356">
        <v>1</v>
      </c>
      <c r="CZ33" s="356">
        <v>1</v>
      </c>
      <c r="DA33" s="356">
        <v>1</v>
      </c>
      <c r="DB33" s="356">
        <v>1</v>
      </c>
      <c r="DC33" s="356">
        <v>1</v>
      </c>
      <c r="DD33" s="356">
        <v>1</v>
      </c>
      <c r="DE33" s="356">
        <v>1</v>
      </c>
      <c r="DF33" s="356">
        <v>1</v>
      </c>
      <c r="DG33" s="356">
        <v>1</v>
      </c>
      <c r="DH33" s="356">
        <v>1</v>
      </c>
      <c r="DI33" s="356">
        <v>1</v>
      </c>
      <c r="DJ33" s="356">
        <v>1</v>
      </c>
      <c r="DK33" s="356">
        <v>1</v>
      </c>
      <c r="DL33" s="356">
        <v>1</v>
      </c>
      <c r="DM33" s="356">
        <v>1</v>
      </c>
      <c r="DN33" s="356">
        <v>1</v>
      </c>
      <c r="DP33" s="354">
        <f t="shared" si="169"/>
        <v>1</v>
      </c>
      <c r="DQ33" s="354">
        <v>4.96</v>
      </c>
      <c r="DR33" s="354">
        <v>4.99</v>
      </c>
      <c r="DS33" s="354">
        <v>4.99</v>
      </c>
      <c r="DT33" s="354">
        <v>5.01</v>
      </c>
      <c r="DU33" s="354">
        <v>5.12</v>
      </c>
      <c r="DV33" s="354">
        <v>5.0999999999999996</v>
      </c>
      <c r="DW33" s="354">
        <v>5.13</v>
      </c>
      <c r="DX33" s="354">
        <v>5.13</v>
      </c>
      <c r="DY33" s="354">
        <v>5.31</v>
      </c>
      <c r="DZ33" s="354">
        <v>5.4</v>
      </c>
      <c r="EA33" s="354">
        <v>5.44</v>
      </c>
      <c r="EB33" s="354">
        <v>5.44</v>
      </c>
      <c r="EC33" s="354">
        <v>5.53</v>
      </c>
      <c r="ED33" s="354">
        <v>5.53</v>
      </c>
      <c r="EE33" s="354">
        <v>5.55</v>
      </c>
      <c r="EF33" s="356">
        <v>5.58</v>
      </c>
      <c r="EG33" s="356">
        <v>1</v>
      </c>
      <c r="EH33" s="356">
        <v>1</v>
      </c>
      <c r="EI33" s="356">
        <v>1</v>
      </c>
      <c r="EJ33" s="356">
        <v>1</v>
      </c>
      <c r="EK33" s="356">
        <v>1</v>
      </c>
      <c r="EL33" s="356">
        <v>1</v>
      </c>
      <c r="EM33" s="356">
        <v>1</v>
      </c>
      <c r="EN33" s="356">
        <v>1</v>
      </c>
      <c r="EO33" s="356">
        <v>1</v>
      </c>
      <c r="EP33" s="356">
        <v>1</v>
      </c>
      <c r="EQ33" s="356">
        <v>1</v>
      </c>
      <c r="ER33" s="356">
        <v>1</v>
      </c>
      <c r="ES33" s="356">
        <v>1</v>
      </c>
      <c r="ET33" s="356">
        <v>1</v>
      </c>
      <c r="EV33" s="354">
        <f t="shared" si="170"/>
        <v>1</v>
      </c>
      <c r="EW33" s="354">
        <v>5.0999999999999996</v>
      </c>
      <c r="EX33" s="354">
        <v>5.2</v>
      </c>
      <c r="EY33" s="354">
        <v>5.2</v>
      </c>
      <c r="EZ33" s="354">
        <v>5.22</v>
      </c>
      <c r="FA33" s="354">
        <v>5.33</v>
      </c>
      <c r="FB33" s="354">
        <v>5.31</v>
      </c>
      <c r="FC33" s="347">
        <v>1</v>
      </c>
      <c r="FD33" s="347">
        <v>1</v>
      </c>
      <c r="FE33" s="347">
        <v>1</v>
      </c>
      <c r="FF33" s="356">
        <v>1</v>
      </c>
      <c r="FG33" s="356">
        <v>1</v>
      </c>
      <c r="FH33" s="356">
        <v>1</v>
      </c>
      <c r="FI33" s="356">
        <v>1</v>
      </c>
      <c r="FJ33" s="356">
        <v>1</v>
      </c>
      <c r="FK33" s="356">
        <v>1</v>
      </c>
      <c r="FL33" s="356">
        <v>1</v>
      </c>
      <c r="FM33" s="356">
        <v>1</v>
      </c>
      <c r="FN33" s="356">
        <v>1</v>
      </c>
      <c r="FO33" s="356">
        <v>1</v>
      </c>
      <c r="FP33" s="356">
        <v>1</v>
      </c>
      <c r="FQ33" s="356">
        <v>1</v>
      </c>
      <c r="FR33" s="356">
        <v>1</v>
      </c>
      <c r="FS33" s="356">
        <v>1</v>
      </c>
      <c r="FT33" s="356">
        <v>1</v>
      </c>
      <c r="FU33" s="356">
        <v>1</v>
      </c>
      <c r="FV33" s="356">
        <v>1</v>
      </c>
      <c r="FW33" s="356">
        <v>1</v>
      </c>
      <c r="FX33" s="356">
        <v>1</v>
      </c>
      <c r="FY33" s="356">
        <v>1</v>
      </c>
      <c r="FZ33" s="356">
        <v>1</v>
      </c>
      <c r="GB33" s="354">
        <f t="shared" si="171"/>
        <v>1</v>
      </c>
      <c r="GC33" s="354">
        <v>12.08</v>
      </c>
      <c r="GD33" s="354">
        <v>12.39</v>
      </c>
      <c r="GE33" s="354">
        <v>12.39</v>
      </c>
      <c r="GF33" s="354">
        <v>12.44</v>
      </c>
      <c r="GG33" s="354">
        <v>12.7</v>
      </c>
      <c r="GH33" s="354">
        <v>12.65</v>
      </c>
      <c r="GI33" s="354">
        <v>12.71</v>
      </c>
      <c r="GJ33" s="354">
        <v>12.71</v>
      </c>
      <c r="GK33" s="354">
        <v>13.15</v>
      </c>
      <c r="GL33" s="354">
        <v>13.39</v>
      </c>
      <c r="GM33" s="354">
        <v>13.48</v>
      </c>
      <c r="GN33" s="354">
        <v>13.48</v>
      </c>
      <c r="GO33" s="354">
        <v>13.7</v>
      </c>
      <c r="GP33" s="354">
        <v>13.7</v>
      </c>
      <c r="GQ33" s="354">
        <v>13.75</v>
      </c>
      <c r="GR33" s="356">
        <v>13.83</v>
      </c>
      <c r="GS33" s="356">
        <v>1</v>
      </c>
      <c r="GT33" s="356">
        <v>1</v>
      </c>
      <c r="GU33" s="356">
        <v>1</v>
      </c>
      <c r="GV33" s="356">
        <v>1</v>
      </c>
      <c r="GW33" s="356">
        <v>1</v>
      </c>
      <c r="GX33" s="356">
        <v>1</v>
      </c>
      <c r="GY33" s="356">
        <v>1</v>
      </c>
      <c r="GZ33" s="356">
        <v>1</v>
      </c>
      <c r="HA33" s="356">
        <v>1</v>
      </c>
      <c r="HB33" s="356">
        <v>1</v>
      </c>
      <c r="HC33" s="356">
        <v>1</v>
      </c>
      <c r="HD33" s="356">
        <v>1</v>
      </c>
      <c r="HE33" s="356">
        <v>1</v>
      </c>
      <c r="HF33" s="356">
        <v>1</v>
      </c>
      <c r="HH33" s="349">
        <v>1</v>
      </c>
      <c r="HI33" s="357">
        <v>1</v>
      </c>
      <c r="HJ33" s="357">
        <v>1</v>
      </c>
      <c r="HK33" s="357">
        <v>1</v>
      </c>
      <c r="HM33" s="349">
        <f t="shared" si="173"/>
        <v>1</v>
      </c>
      <c r="HN33" s="354">
        <v>1</v>
      </c>
    </row>
    <row r="34" spans="1:225" ht="12.75" hidden="1" customHeight="1" x14ac:dyDescent="0.2">
      <c r="A34" s="373">
        <f t="shared" si="172"/>
        <v>30</v>
      </c>
      <c r="B34" s="149" t="s">
        <v>123</v>
      </c>
      <c r="C34" s="150">
        <v>1.107</v>
      </c>
      <c r="D34" s="150">
        <v>1.1659999999999999</v>
      </c>
      <c r="E34" s="150">
        <v>1.2230000000000001</v>
      </c>
      <c r="F34" s="150">
        <v>1.0840000000000001</v>
      </c>
      <c r="G34" s="150"/>
      <c r="H34" s="226">
        <f ca="1">OFFSET($HH34,0,'Расчет стоимости'!$M$10,1,1)</f>
        <v>1</v>
      </c>
      <c r="I34" s="150">
        <v>1</v>
      </c>
      <c r="J34" s="150">
        <v>1</v>
      </c>
      <c r="K34" s="149">
        <v>1</v>
      </c>
      <c r="L34" s="149">
        <v>1</v>
      </c>
      <c r="M34" s="372">
        <v>2.1000000000000001E-2</v>
      </c>
      <c r="N34" s="145">
        <v>1.9E-2</v>
      </c>
      <c r="O34" s="145">
        <v>0.01</v>
      </c>
      <c r="P34" s="145">
        <v>3.2000000000000001E-2</v>
      </c>
      <c r="Q34" s="145">
        <v>0</v>
      </c>
      <c r="R34" s="152" t="s">
        <v>234</v>
      </c>
      <c r="T34" s="225">
        <f t="shared" si="174"/>
        <v>1</v>
      </c>
      <c r="U34" s="225">
        <f t="shared" si="174"/>
        <v>1</v>
      </c>
      <c r="V34" s="225">
        <f t="shared" si="174"/>
        <v>1</v>
      </c>
      <c r="W34" s="225">
        <f t="shared" si="174"/>
        <v>1</v>
      </c>
      <c r="X34" s="145">
        <f t="shared" si="166"/>
        <v>1</v>
      </c>
      <c r="Y34" s="145">
        <v>6.39</v>
      </c>
      <c r="Z34" s="145">
        <v>6.4</v>
      </c>
      <c r="AA34" s="145">
        <v>6.4</v>
      </c>
      <c r="AB34" s="145">
        <v>6.4</v>
      </c>
      <c r="AC34" s="145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5">
        <f t="shared" si="167"/>
        <v>1</v>
      </c>
      <c r="BE34" s="145">
        <v>4.07</v>
      </c>
      <c r="BF34" s="145">
        <v>4.17</v>
      </c>
      <c r="BG34" s="145">
        <v>4.17</v>
      </c>
      <c r="BH34" s="145">
        <v>3.92</v>
      </c>
      <c r="BI34" s="145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5">
        <f t="shared" si="168"/>
        <v>1</v>
      </c>
      <c r="CK34" s="145">
        <v>4.6900000000000004</v>
      </c>
      <c r="CL34" s="145">
        <v>4.82</v>
      </c>
      <c r="CM34" s="145">
        <v>4.82</v>
      </c>
      <c r="CN34" s="145">
        <v>4.42</v>
      </c>
      <c r="CO34" s="145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5">
        <f t="shared" si="169"/>
        <v>1</v>
      </c>
      <c r="DQ34" s="145">
        <v>4.7699999999999996</v>
      </c>
      <c r="DR34" s="145">
        <v>4.9000000000000004</v>
      </c>
      <c r="DS34" s="145">
        <v>4.9000000000000004</v>
      </c>
      <c r="DT34" s="145">
        <v>4.92</v>
      </c>
      <c r="DU34" s="145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5">
        <f t="shared" si="170"/>
        <v>1</v>
      </c>
      <c r="EW34" s="145">
        <v>5.07</v>
      </c>
      <c r="EX34" s="145">
        <v>5.2</v>
      </c>
      <c r="EY34" s="145">
        <v>5.2</v>
      </c>
      <c r="EZ34" s="145">
        <v>4.8899999999999997</v>
      </c>
      <c r="FA34" s="145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5">
        <f t="shared" si="171"/>
        <v>1</v>
      </c>
      <c r="GC34" s="145">
        <v>12.47</v>
      </c>
      <c r="GD34" s="145">
        <v>12.8</v>
      </c>
      <c r="GE34" s="145">
        <v>12.8</v>
      </c>
      <c r="GF34" s="145">
        <v>12.85</v>
      </c>
      <c r="GG34" s="145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3">
        <v>1</v>
      </c>
      <c r="HI34" s="218">
        <v>1</v>
      </c>
      <c r="HJ34" s="229">
        <v>1</v>
      </c>
      <c r="HK34" s="229">
        <v>1</v>
      </c>
      <c r="HM34" s="373">
        <f t="shared" si="173"/>
        <v>1</v>
      </c>
      <c r="HN34" s="145">
        <v>1</v>
      </c>
    </row>
    <row r="35" spans="1:225" ht="12.75" hidden="1" customHeight="1" x14ac:dyDescent="0.2">
      <c r="A35" s="373">
        <f t="shared" si="172"/>
        <v>31</v>
      </c>
      <c r="B35" s="149" t="s">
        <v>152</v>
      </c>
      <c r="C35" s="150">
        <v>0.94199999999999995</v>
      </c>
      <c r="D35" s="150">
        <v>0.95</v>
      </c>
      <c r="E35" s="150">
        <v>0.91100000000000003</v>
      </c>
      <c r="F35" s="150">
        <v>0.96499999999999997</v>
      </c>
      <c r="G35" s="150"/>
      <c r="H35" s="226">
        <f ca="1">OFFSET($HH35,0,'Расчет стоимости'!$M$10,1,1)</f>
        <v>0.94</v>
      </c>
      <c r="I35" s="150">
        <v>1</v>
      </c>
      <c r="J35" s="150">
        <v>1</v>
      </c>
      <c r="K35" s="149">
        <v>1</v>
      </c>
      <c r="L35" s="149">
        <v>1</v>
      </c>
      <c r="M35" s="372">
        <v>6.0000000000000001E-3</v>
      </c>
      <c r="N35" s="145">
        <v>4.0000000000000001E-3</v>
      </c>
      <c r="O35" s="145">
        <v>3.0000000000000001E-3</v>
      </c>
      <c r="P35" s="145">
        <v>6.9999999999999993E-3</v>
      </c>
      <c r="Q35" s="145">
        <v>0</v>
      </c>
      <c r="R35" s="152" t="s">
        <v>239</v>
      </c>
      <c r="T35" s="225">
        <f t="shared" si="174"/>
        <v>1</v>
      </c>
      <c r="U35" s="225">
        <f t="shared" si="174"/>
        <v>1</v>
      </c>
      <c r="V35" s="225">
        <f t="shared" si="174"/>
        <v>1</v>
      </c>
      <c r="W35" s="225">
        <f t="shared" si="174"/>
        <v>1</v>
      </c>
      <c r="X35" s="145">
        <f t="shared" si="166"/>
        <v>1</v>
      </c>
      <c r="Y35" s="145">
        <v>5.58</v>
      </c>
      <c r="Z35" s="145">
        <v>5.73</v>
      </c>
      <c r="AA35" s="145">
        <v>5.73</v>
      </c>
      <c r="AB35" s="145">
        <v>5.75</v>
      </c>
      <c r="AC35" s="145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5">
        <f t="shared" si="167"/>
        <v>1</v>
      </c>
      <c r="BE35" s="145">
        <v>4.1399999999999997</v>
      </c>
      <c r="BF35" s="145">
        <v>4.1500000000000004</v>
      </c>
      <c r="BG35" s="145">
        <v>4.1500000000000004</v>
      </c>
      <c r="BH35" s="145">
        <v>4.17</v>
      </c>
      <c r="BI35" s="145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5">
        <f t="shared" si="168"/>
        <v>1</v>
      </c>
      <c r="CK35" s="145">
        <v>4.26</v>
      </c>
      <c r="CL35" s="145">
        <v>4.25</v>
      </c>
      <c r="CM35" s="145">
        <v>4.25</v>
      </c>
      <c r="CN35" s="145">
        <v>4.26</v>
      </c>
      <c r="CO35" s="145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5">
        <f t="shared" si="169"/>
        <v>1</v>
      </c>
      <c r="DQ35" s="145">
        <v>4.82</v>
      </c>
      <c r="DR35" s="145">
        <v>4.92</v>
      </c>
      <c r="DS35" s="145">
        <v>4.92</v>
      </c>
      <c r="DT35" s="145">
        <v>4.9400000000000004</v>
      </c>
      <c r="DU35" s="145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5">
        <f t="shared" si="170"/>
        <v>1</v>
      </c>
      <c r="EW35" s="145">
        <v>4.41</v>
      </c>
      <c r="EX35" s="145">
        <v>4.45</v>
      </c>
      <c r="EY35" s="145">
        <v>4.45</v>
      </c>
      <c r="EZ35" s="145">
        <v>4.47</v>
      </c>
      <c r="FA35" s="145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5">
        <f t="shared" si="171"/>
        <v>1</v>
      </c>
      <c r="GC35" s="145">
        <v>8.43</v>
      </c>
      <c r="GD35" s="145">
        <v>8.65</v>
      </c>
      <c r="GE35" s="145">
        <v>8.65</v>
      </c>
      <c r="GF35" s="145">
        <v>8.68</v>
      </c>
      <c r="GG35" s="145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3">
        <v>1</v>
      </c>
      <c r="HI35" s="218">
        <v>0.94</v>
      </c>
      <c r="HJ35" s="229">
        <v>0.94</v>
      </c>
      <c r="HK35" s="229">
        <v>0.94</v>
      </c>
      <c r="HM35" s="373">
        <f t="shared" si="173"/>
        <v>1</v>
      </c>
      <c r="HN35" s="145">
        <v>1</v>
      </c>
    </row>
    <row r="36" spans="1:225" ht="12.75" hidden="1" customHeight="1" x14ac:dyDescent="0.2">
      <c r="A36" s="373">
        <f t="shared" si="172"/>
        <v>32</v>
      </c>
      <c r="B36" s="149" t="s">
        <v>146</v>
      </c>
      <c r="C36" s="150">
        <v>1.1319999999999999</v>
      </c>
      <c r="D36" s="150">
        <v>1.1930000000000001</v>
      </c>
      <c r="E36" s="150">
        <v>0.91900000000000004</v>
      </c>
      <c r="F36" s="150">
        <v>1.145</v>
      </c>
      <c r="G36" s="150"/>
      <c r="H36" s="226">
        <f ca="1">OFFSET($HH36,0,'Расчет стоимости'!$M$10,1,1)</f>
        <v>0.94</v>
      </c>
      <c r="I36" s="150">
        <v>1</v>
      </c>
      <c r="J36" s="150">
        <v>1</v>
      </c>
      <c r="K36" s="149">
        <v>1</v>
      </c>
      <c r="L36" s="149">
        <v>1</v>
      </c>
      <c r="M36" s="372">
        <v>1.2E-2</v>
      </c>
      <c r="N36" s="145">
        <v>0.01</v>
      </c>
      <c r="O36" s="145">
        <v>6.0000000000000001E-3</v>
      </c>
      <c r="P36" s="145">
        <v>1.6E-2</v>
      </c>
      <c r="Q36" s="145">
        <v>0</v>
      </c>
      <c r="R36" s="152" t="s">
        <v>241</v>
      </c>
      <c r="T36" s="225">
        <f t="shared" si="174"/>
        <v>1</v>
      </c>
      <c r="U36" s="225">
        <f t="shared" si="174"/>
        <v>1</v>
      </c>
      <c r="V36" s="225">
        <f t="shared" si="174"/>
        <v>1</v>
      </c>
      <c r="W36" s="225">
        <f t="shared" si="174"/>
        <v>1</v>
      </c>
      <c r="X36" s="145">
        <f t="shared" si="166"/>
        <v>1</v>
      </c>
      <c r="Y36" s="145">
        <v>5.9</v>
      </c>
      <c r="Z36" s="145">
        <v>6.06</v>
      </c>
      <c r="AA36" s="145">
        <v>6.06</v>
      </c>
      <c r="AB36" s="145">
        <v>6.08</v>
      </c>
      <c r="AC36" s="145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5">
        <f t="shared" si="167"/>
        <v>1</v>
      </c>
      <c r="BE36" s="145">
        <v>3.98</v>
      </c>
      <c r="BF36" s="145">
        <v>3.97</v>
      </c>
      <c r="BG36" s="145">
        <v>3.97</v>
      </c>
      <c r="BH36" s="145">
        <v>3.97</v>
      </c>
      <c r="BI36" s="145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5">
        <f t="shared" si="168"/>
        <v>1</v>
      </c>
      <c r="CK36" s="145">
        <v>3.92</v>
      </c>
      <c r="CL36" s="145">
        <v>3.9</v>
      </c>
      <c r="CM36" s="145">
        <v>3.9</v>
      </c>
      <c r="CN36" s="145">
        <v>3.92</v>
      </c>
      <c r="CO36" s="145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5">
        <f t="shared" si="169"/>
        <v>1</v>
      </c>
      <c r="DQ36" s="145">
        <v>4.8600000000000003</v>
      </c>
      <c r="DR36" s="145">
        <v>4.88</v>
      </c>
      <c r="DS36" s="145">
        <v>4.88</v>
      </c>
      <c r="DT36" s="145">
        <v>4.9000000000000004</v>
      </c>
      <c r="DU36" s="145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5">
        <f t="shared" si="170"/>
        <v>1</v>
      </c>
      <c r="EW36" s="145">
        <v>4.37</v>
      </c>
      <c r="EX36" s="145">
        <v>4.37</v>
      </c>
      <c r="EY36" s="145">
        <v>4.37</v>
      </c>
      <c r="EZ36" s="145">
        <v>4.3899999999999997</v>
      </c>
      <c r="FA36" s="145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5">
        <f t="shared" si="171"/>
        <v>1</v>
      </c>
      <c r="GC36" s="145">
        <v>10.38</v>
      </c>
      <c r="GD36" s="145">
        <v>10.32</v>
      </c>
      <c r="GE36" s="145">
        <v>10.32</v>
      </c>
      <c r="GF36" s="145">
        <v>10.36</v>
      </c>
      <c r="GG36" s="145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3">
        <v>1</v>
      </c>
      <c r="HI36" s="218">
        <v>0.94</v>
      </c>
      <c r="HJ36" s="229">
        <v>0.94</v>
      </c>
      <c r="HK36" s="229">
        <v>0.94</v>
      </c>
      <c r="HM36" s="373">
        <f t="shared" si="173"/>
        <v>1</v>
      </c>
      <c r="HN36" s="145">
        <v>1</v>
      </c>
    </row>
    <row r="37" spans="1:225" ht="12.75" hidden="1" customHeight="1" x14ac:dyDescent="0.2">
      <c r="A37" s="373">
        <f t="shared" si="172"/>
        <v>33</v>
      </c>
      <c r="B37" s="149" t="s">
        <v>147</v>
      </c>
      <c r="C37" s="150">
        <v>0.97799999999999998</v>
      </c>
      <c r="D37" s="150">
        <v>0.98</v>
      </c>
      <c r="E37" s="150">
        <v>0.98499999999999999</v>
      </c>
      <c r="F37" s="150">
        <v>0.92500000000000004</v>
      </c>
      <c r="G37" s="150"/>
      <c r="H37" s="226">
        <f ca="1">OFFSET($HH37,0,'Расчет стоимости'!$M$10,1,1)</f>
        <v>0.94</v>
      </c>
      <c r="I37" s="150">
        <v>1</v>
      </c>
      <c r="J37" s="150">
        <v>1</v>
      </c>
      <c r="K37" s="149">
        <v>1</v>
      </c>
      <c r="L37" s="149">
        <v>1</v>
      </c>
      <c r="M37" s="372">
        <v>2.1000000000000001E-2</v>
      </c>
      <c r="N37" s="145">
        <v>1.9E-2</v>
      </c>
      <c r="O37" s="145">
        <v>0.01</v>
      </c>
      <c r="P37" s="145">
        <v>3.2000000000000001E-2</v>
      </c>
      <c r="Q37" s="145">
        <v>0</v>
      </c>
      <c r="R37" s="152" t="s">
        <v>234</v>
      </c>
      <c r="T37" s="225">
        <f t="shared" si="174"/>
        <v>1</v>
      </c>
      <c r="U37" s="225">
        <f t="shared" si="174"/>
        <v>1</v>
      </c>
      <c r="V37" s="225">
        <f t="shared" si="174"/>
        <v>1</v>
      </c>
      <c r="W37" s="225">
        <f t="shared" si="174"/>
        <v>1</v>
      </c>
      <c r="X37" s="145">
        <f t="shared" si="166"/>
        <v>1</v>
      </c>
      <c r="Y37" s="145">
        <v>5.9</v>
      </c>
      <c r="Z37" s="145">
        <v>5.93</v>
      </c>
      <c r="AA37" s="145">
        <v>5.93</v>
      </c>
      <c r="AB37" s="145">
        <v>5.95</v>
      </c>
      <c r="AC37" s="145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5">
        <f t="shared" si="167"/>
        <v>1</v>
      </c>
      <c r="BE37" s="145">
        <v>3.39</v>
      </c>
      <c r="BF37" s="145">
        <v>3.44</v>
      </c>
      <c r="BG37" s="145">
        <v>3.44</v>
      </c>
      <c r="BH37" s="145">
        <v>3.45</v>
      </c>
      <c r="BI37" s="145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5">
        <f t="shared" si="168"/>
        <v>1</v>
      </c>
      <c r="CK37" s="145">
        <v>3.69</v>
      </c>
      <c r="CL37" s="145">
        <v>3.78</v>
      </c>
      <c r="CM37" s="145">
        <v>3.78</v>
      </c>
      <c r="CN37" s="145">
        <v>3.9</v>
      </c>
      <c r="CO37" s="145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5">
        <f t="shared" si="169"/>
        <v>1</v>
      </c>
      <c r="DQ37" s="145">
        <v>4.3</v>
      </c>
      <c r="DR37" s="145">
        <v>4.37</v>
      </c>
      <c r="DS37" s="145">
        <v>4.37</v>
      </c>
      <c r="DT37" s="145">
        <v>4.3899999999999997</v>
      </c>
      <c r="DU37" s="145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5">
        <f t="shared" si="170"/>
        <v>1</v>
      </c>
      <c r="EW37" s="145">
        <v>4.22</v>
      </c>
      <c r="EX37" s="145">
        <v>4.28</v>
      </c>
      <c r="EY37" s="145">
        <v>4.28</v>
      </c>
      <c r="EZ37" s="145">
        <v>4.3</v>
      </c>
      <c r="FA37" s="145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5">
        <f t="shared" si="171"/>
        <v>1</v>
      </c>
      <c r="GC37" s="145">
        <v>10.94</v>
      </c>
      <c r="GD37" s="145">
        <v>10.97</v>
      </c>
      <c r="GE37" s="145">
        <v>10.97</v>
      </c>
      <c r="GF37" s="145">
        <v>11.01</v>
      </c>
      <c r="GG37" s="145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3">
        <v>1</v>
      </c>
      <c r="HI37" s="218">
        <v>0.94</v>
      </c>
      <c r="HJ37" s="229">
        <v>0.94</v>
      </c>
      <c r="HK37" s="229">
        <v>0.94</v>
      </c>
      <c r="HM37" s="373">
        <f t="shared" si="173"/>
        <v>1</v>
      </c>
      <c r="HN37" s="145">
        <v>1</v>
      </c>
    </row>
    <row r="38" spans="1:225" ht="12.75" hidden="1" customHeight="1" x14ac:dyDescent="0.2">
      <c r="A38" s="373">
        <f t="shared" si="172"/>
        <v>34</v>
      </c>
      <c r="B38" s="149" t="s">
        <v>144</v>
      </c>
      <c r="C38" s="150">
        <v>1.0189999999999999</v>
      </c>
      <c r="D38" s="150">
        <v>1.095</v>
      </c>
      <c r="E38" s="150">
        <v>0.77500000000000002</v>
      </c>
      <c r="F38" s="150">
        <v>0.95299999999999996</v>
      </c>
      <c r="G38" s="150"/>
      <c r="H38" s="226">
        <f ca="1">OFFSET($HH38,0,'Расчет стоимости'!$M$10,1,1)</f>
        <v>1</v>
      </c>
      <c r="I38" s="150">
        <v>1</v>
      </c>
      <c r="J38" s="150">
        <v>1</v>
      </c>
      <c r="K38" s="149">
        <v>1</v>
      </c>
      <c r="L38" s="149">
        <v>1</v>
      </c>
      <c r="M38" s="372">
        <v>1.2E-2</v>
      </c>
      <c r="N38" s="145">
        <v>0.01</v>
      </c>
      <c r="O38" s="145">
        <v>6.0000000000000001E-3</v>
      </c>
      <c r="P38" s="145">
        <v>1.6E-2</v>
      </c>
      <c r="Q38" s="145">
        <v>0</v>
      </c>
      <c r="R38" s="152" t="s">
        <v>241</v>
      </c>
      <c r="T38" s="225">
        <f t="shared" si="174"/>
        <v>1</v>
      </c>
      <c r="U38" s="225">
        <f t="shared" si="174"/>
        <v>1</v>
      </c>
      <c r="V38" s="225">
        <f t="shared" si="174"/>
        <v>1</v>
      </c>
      <c r="W38" s="225">
        <f t="shared" si="174"/>
        <v>1</v>
      </c>
      <c r="X38" s="145">
        <f t="shared" ref="X38:X69" si="175">HLOOKUP($X$4,Y$5:BB$91,$A38,FALSE)</f>
        <v>1</v>
      </c>
      <c r="Y38" s="145">
        <v>5.68</v>
      </c>
      <c r="Z38" s="145">
        <v>5.83</v>
      </c>
      <c r="AA38" s="145">
        <v>5.83</v>
      </c>
      <c r="AB38" s="145">
        <v>5.85</v>
      </c>
      <c r="AC38" s="145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5">
        <f t="shared" ref="BD38:BD69" si="176">HLOOKUP($BD$4,BE$5:CH$91,$A38,FALSE)</f>
        <v>1</v>
      </c>
      <c r="BE38" s="145">
        <v>3.49</v>
      </c>
      <c r="BF38" s="145">
        <v>3.58</v>
      </c>
      <c r="BG38" s="145">
        <v>3.58</v>
      </c>
      <c r="BH38" s="145">
        <v>3.59</v>
      </c>
      <c r="BI38" s="145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5">
        <f t="shared" ref="CJ38:CJ69" si="177">HLOOKUP($CJ$4,CK$5:DN$91,$A38,FALSE)</f>
        <v>1</v>
      </c>
      <c r="CK38" s="145">
        <v>3.85</v>
      </c>
      <c r="CL38" s="145">
        <v>3.94</v>
      </c>
      <c r="CM38" s="145">
        <v>3.94</v>
      </c>
      <c r="CN38" s="145">
        <v>3.96</v>
      </c>
      <c r="CO38" s="145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5">
        <f t="shared" ref="DP38:DP69" si="178">HLOOKUP($DP$4,DQ$5:ET$91,$A38,FALSE)</f>
        <v>1</v>
      </c>
      <c r="DQ38" s="145">
        <v>3.9</v>
      </c>
      <c r="DR38" s="145">
        <v>3.94</v>
      </c>
      <c r="DS38" s="145">
        <v>3.94</v>
      </c>
      <c r="DT38" s="145">
        <v>3.96</v>
      </c>
      <c r="DU38" s="145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5">
        <f t="shared" ref="EV38:EV69" si="179">HLOOKUP($EV$4,EW$5:FZ$91,$A38,FALSE)</f>
        <v>1</v>
      </c>
      <c r="EW38" s="145">
        <v>3.96</v>
      </c>
      <c r="EX38" s="145">
        <v>4.0599999999999996</v>
      </c>
      <c r="EY38" s="145">
        <v>4.0599999999999996</v>
      </c>
      <c r="EZ38" s="145">
        <v>4.08</v>
      </c>
      <c r="FA38" s="145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5">
        <f t="shared" ref="GB38:GB69" si="180">HLOOKUP($GB$4,GC$5:HF$91,$A38,FALSE)</f>
        <v>1</v>
      </c>
      <c r="GC38" s="145">
        <v>9.08</v>
      </c>
      <c r="GD38" s="145">
        <v>9.3000000000000007</v>
      </c>
      <c r="GE38" s="145">
        <v>9.3000000000000007</v>
      </c>
      <c r="GF38" s="145">
        <v>9.34</v>
      </c>
      <c r="GG38" s="145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3">
        <v>1</v>
      </c>
      <c r="HI38" s="218">
        <v>1</v>
      </c>
      <c r="HJ38" s="229">
        <v>1</v>
      </c>
      <c r="HK38" s="229">
        <v>1</v>
      </c>
      <c r="HM38" s="373">
        <f t="shared" si="173"/>
        <v>1</v>
      </c>
      <c r="HN38" s="145">
        <v>1</v>
      </c>
    </row>
    <row r="39" spans="1:225" ht="12.75" hidden="1" customHeight="1" x14ac:dyDescent="0.2">
      <c r="A39" s="373">
        <f t="shared" si="172"/>
        <v>35</v>
      </c>
      <c r="B39" s="149" t="s">
        <v>156</v>
      </c>
      <c r="C39" s="150">
        <v>0.94199999999999995</v>
      </c>
      <c r="D39" s="150">
        <v>0.95</v>
      </c>
      <c r="E39" s="150">
        <v>0.91100000000000003</v>
      </c>
      <c r="F39" s="150">
        <v>0.96499999999999997</v>
      </c>
      <c r="G39" s="150"/>
      <c r="H39" s="226">
        <f ca="1">OFFSET($HH39,0,'Расчет стоимости'!$M$10,1,1)</f>
        <v>0.94</v>
      </c>
      <c r="I39" s="150">
        <v>1</v>
      </c>
      <c r="J39" s="150">
        <v>1</v>
      </c>
      <c r="K39" s="149">
        <v>1</v>
      </c>
      <c r="L39" s="149">
        <v>1</v>
      </c>
      <c r="M39" s="372">
        <v>6.0000000000000001E-3</v>
      </c>
      <c r="N39" s="145">
        <v>4.0000000000000001E-3</v>
      </c>
      <c r="O39" s="145">
        <v>3.0000000000000001E-3</v>
      </c>
      <c r="P39" s="145">
        <v>6.9999999999999993E-3</v>
      </c>
      <c r="Q39" s="145">
        <v>0</v>
      </c>
      <c r="R39" s="152" t="s">
        <v>239</v>
      </c>
      <c r="T39" s="225">
        <f t="shared" si="174"/>
        <v>1</v>
      </c>
      <c r="U39" s="225">
        <f t="shared" si="174"/>
        <v>1</v>
      </c>
      <c r="V39" s="225">
        <f t="shared" si="174"/>
        <v>1</v>
      </c>
      <c r="W39" s="225">
        <f t="shared" si="174"/>
        <v>1</v>
      </c>
      <c r="X39" s="145">
        <f t="shared" si="175"/>
        <v>1</v>
      </c>
      <c r="Y39" s="145">
        <v>5.41</v>
      </c>
      <c r="Z39" s="145">
        <v>5.54</v>
      </c>
      <c r="AA39" s="145">
        <v>5.54</v>
      </c>
      <c r="AB39" s="145">
        <v>5.56</v>
      </c>
      <c r="AC39" s="145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5">
        <f t="shared" si="176"/>
        <v>1</v>
      </c>
      <c r="BE39" s="145">
        <v>3.97</v>
      </c>
      <c r="BF39" s="145">
        <v>4</v>
      </c>
      <c r="BG39" s="145">
        <v>4</v>
      </c>
      <c r="BH39" s="145">
        <v>3.81</v>
      </c>
      <c r="BI39" s="145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5">
        <f t="shared" si="177"/>
        <v>1</v>
      </c>
      <c r="CK39" s="145">
        <v>3.99</v>
      </c>
      <c r="CL39" s="145">
        <v>4.0199999999999996</v>
      </c>
      <c r="CM39" s="145">
        <v>4.0199999999999996</v>
      </c>
      <c r="CN39" s="145">
        <v>4.04</v>
      </c>
      <c r="CO39" s="145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5">
        <f t="shared" si="178"/>
        <v>1</v>
      </c>
      <c r="DQ39" s="145">
        <v>5.07</v>
      </c>
      <c r="DR39" s="145">
        <v>5.09</v>
      </c>
      <c r="DS39" s="145">
        <v>5.09</v>
      </c>
      <c r="DT39" s="145">
        <v>5.1100000000000003</v>
      </c>
      <c r="DU39" s="145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5">
        <f t="shared" si="179"/>
        <v>1</v>
      </c>
      <c r="EW39" s="145">
        <v>4.4400000000000004</v>
      </c>
      <c r="EX39" s="145">
        <v>4.47</v>
      </c>
      <c r="EY39" s="145">
        <v>4.47</v>
      </c>
      <c r="EZ39" s="145">
        <v>4.49</v>
      </c>
      <c r="FA39" s="145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5">
        <f t="shared" si="180"/>
        <v>1</v>
      </c>
      <c r="GC39" s="145">
        <v>9.85</v>
      </c>
      <c r="GD39" s="145">
        <v>10.06</v>
      </c>
      <c r="GE39" s="145">
        <v>10.06</v>
      </c>
      <c r="GF39" s="145">
        <v>10.1</v>
      </c>
      <c r="GG39" s="145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3">
        <v>1</v>
      </c>
      <c r="HI39" s="218">
        <v>0.94</v>
      </c>
      <c r="HJ39" s="229">
        <v>0.94</v>
      </c>
      <c r="HK39" s="229">
        <v>0.94</v>
      </c>
      <c r="HM39" s="373">
        <f t="shared" si="173"/>
        <v>1</v>
      </c>
      <c r="HN39" s="145">
        <v>1</v>
      </c>
    </row>
    <row r="40" spans="1:225" ht="12.75" hidden="1" customHeight="1" x14ac:dyDescent="0.2">
      <c r="A40" s="373">
        <f t="shared" si="172"/>
        <v>36</v>
      </c>
      <c r="B40" s="149" t="s">
        <v>158</v>
      </c>
      <c r="C40" s="150">
        <v>0.98399999999999999</v>
      </c>
      <c r="D40" s="150">
        <v>0.97899999999999998</v>
      </c>
      <c r="E40" s="150">
        <v>1</v>
      </c>
      <c r="F40" s="150">
        <v>0.98</v>
      </c>
      <c r="G40" s="150"/>
      <c r="H40" s="226">
        <f ca="1">OFFSET($HH40,0,'Расчет стоимости'!$M$10,1,1)</f>
        <v>0.94</v>
      </c>
      <c r="I40" s="150">
        <v>1</v>
      </c>
      <c r="J40" s="150">
        <v>1</v>
      </c>
      <c r="K40" s="149">
        <v>1</v>
      </c>
      <c r="L40" s="149">
        <v>1</v>
      </c>
      <c r="M40" s="372">
        <v>1.2E-2</v>
      </c>
      <c r="N40" s="145">
        <v>0.01</v>
      </c>
      <c r="O40" s="145">
        <v>6.0000000000000001E-3</v>
      </c>
      <c r="P40" s="145">
        <v>1.6E-2</v>
      </c>
      <c r="Q40" s="145">
        <v>0</v>
      </c>
      <c r="R40" s="152" t="s">
        <v>241</v>
      </c>
      <c r="T40" s="225">
        <f t="shared" si="174"/>
        <v>1</v>
      </c>
      <c r="U40" s="225">
        <f t="shared" si="174"/>
        <v>1</v>
      </c>
      <c r="V40" s="225">
        <f t="shared" si="174"/>
        <v>1</v>
      </c>
      <c r="W40" s="225">
        <f t="shared" si="174"/>
        <v>1</v>
      </c>
      <c r="X40" s="145">
        <f t="shared" si="175"/>
        <v>1</v>
      </c>
      <c r="Y40" s="145">
        <v>5.49</v>
      </c>
      <c r="Z40" s="145">
        <v>5.63</v>
      </c>
      <c r="AA40" s="145">
        <v>5.63</v>
      </c>
      <c r="AB40" s="145">
        <v>5.65</v>
      </c>
      <c r="AC40" s="145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5">
        <f t="shared" si="176"/>
        <v>1</v>
      </c>
      <c r="BE40" s="145">
        <v>3.87</v>
      </c>
      <c r="BF40" s="145">
        <v>3.91</v>
      </c>
      <c r="BG40" s="145">
        <v>3.91</v>
      </c>
      <c r="BH40" s="145">
        <v>3.93</v>
      </c>
      <c r="BI40" s="145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5">
        <f t="shared" si="177"/>
        <v>1</v>
      </c>
      <c r="CK40" s="145">
        <v>3.89</v>
      </c>
      <c r="CL40" s="145">
        <v>3.91</v>
      </c>
      <c r="CM40" s="145">
        <v>3.91</v>
      </c>
      <c r="CN40" s="145">
        <v>3.91</v>
      </c>
      <c r="CO40" s="145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5">
        <f t="shared" si="178"/>
        <v>1</v>
      </c>
      <c r="DQ40" s="145">
        <v>4.6500000000000004</v>
      </c>
      <c r="DR40" s="145">
        <v>4.78</v>
      </c>
      <c r="DS40" s="145">
        <v>4.78</v>
      </c>
      <c r="DT40" s="145">
        <v>4.8</v>
      </c>
      <c r="DU40" s="145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5">
        <f t="shared" si="179"/>
        <v>1</v>
      </c>
      <c r="EW40" s="145">
        <v>4.13</v>
      </c>
      <c r="EX40" s="145">
        <v>4.24</v>
      </c>
      <c r="EY40" s="145">
        <v>4.24</v>
      </c>
      <c r="EZ40" s="145">
        <v>4.26</v>
      </c>
      <c r="FA40" s="145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5">
        <f t="shared" si="180"/>
        <v>1</v>
      </c>
      <c r="GC40" s="145">
        <v>9.24</v>
      </c>
      <c r="GD40" s="145">
        <v>9.41</v>
      </c>
      <c r="GE40" s="145">
        <v>9.41</v>
      </c>
      <c r="GF40" s="145">
        <v>9.4499999999999993</v>
      </c>
      <c r="GG40" s="145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3">
        <v>1</v>
      </c>
      <c r="HI40" s="218">
        <v>0.94</v>
      </c>
      <c r="HJ40" s="229">
        <v>0.94</v>
      </c>
      <c r="HK40" s="229">
        <v>0.94</v>
      </c>
      <c r="HM40" s="373">
        <f t="shared" si="173"/>
        <v>1</v>
      </c>
      <c r="HN40" s="145">
        <v>1</v>
      </c>
    </row>
    <row r="41" spans="1:225" hidden="1" x14ac:dyDescent="0.2">
      <c r="A41" s="373">
        <f t="shared" si="172"/>
        <v>37</v>
      </c>
      <c r="B41" s="149" t="s">
        <v>1249</v>
      </c>
      <c r="C41" s="150">
        <v>1.208</v>
      </c>
      <c r="D41" s="150">
        <v>1.276</v>
      </c>
      <c r="E41" s="150">
        <v>1</v>
      </c>
      <c r="F41" s="150">
        <v>1.127</v>
      </c>
      <c r="G41" s="150"/>
      <c r="H41" s="226">
        <f ca="1">OFFSET($HH41,0,'Расчет стоимости'!$M$10,1,1)</f>
        <v>0.94</v>
      </c>
      <c r="I41" s="150">
        <v>1</v>
      </c>
      <c r="J41" s="150">
        <v>1</v>
      </c>
      <c r="K41" s="149">
        <v>1</v>
      </c>
      <c r="L41" s="149">
        <v>1</v>
      </c>
      <c r="M41" s="372">
        <v>6.0000000000000001E-3</v>
      </c>
      <c r="N41" s="145">
        <v>4.0000000000000001E-3</v>
      </c>
      <c r="O41" s="145">
        <v>3.0000000000000001E-3</v>
      </c>
      <c r="P41" s="145">
        <v>6.9999999999999993E-3</v>
      </c>
      <c r="Q41" s="145">
        <v>0</v>
      </c>
      <c r="R41" s="152" t="s">
        <v>239</v>
      </c>
      <c r="T41" s="225">
        <f t="shared" si="174"/>
        <v>1</v>
      </c>
      <c r="U41" s="225">
        <f t="shared" si="174"/>
        <v>1</v>
      </c>
      <c r="V41" s="225">
        <f t="shared" si="174"/>
        <v>1</v>
      </c>
      <c r="W41" s="225">
        <f t="shared" si="174"/>
        <v>1</v>
      </c>
      <c r="X41" s="145">
        <f t="shared" si="175"/>
        <v>1</v>
      </c>
      <c r="Y41" s="145">
        <v>6.06</v>
      </c>
      <c r="Z41" s="145">
        <v>6.16</v>
      </c>
      <c r="AA41" s="145">
        <v>6.16</v>
      </c>
      <c r="AB41" s="145">
        <v>6.18</v>
      </c>
      <c r="AC41" s="145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5">
        <f t="shared" si="176"/>
        <v>1</v>
      </c>
      <c r="BE41" s="145">
        <v>3.71</v>
      </c>
      <c r="BF41" s="145">
        <v>3.75</v>
      </c>
      <c r="BG41" s="145">
        <v>3.75</v>
      </c>
      <c r="BH41" s="145">
        <v>3.77</v>
      </c>
      <c r="BI41" s="145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5">
        <f t="shared" si="177"/>
        <v>1</v>
      </c>
      <c r="CK41" s="145">
        <v>3.87</v>
      </c>
      <c r="CL41" s="145">
        <v>3.87</v>
      </c>
      <c r="CM41" s="145">
        <v>3.87</v>
      </c>
      <c r="CN41" s="145">
        <v>3.89</v>
      </c>
      <c r="CO41" s="145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5">
        <f t="shared" si="178"/>
        <v>1</v>
      </c>
      <c r="DQ41" s="145">
        <v>4.96</v>
      </c>
      <c r="DR41" s="145">
        <v>5.07</v>
      </c>
      <c r="DS41" s="145">
        <v>5.07</v>
      </c>
      <c r="DT41" s="145">
        <v>5.09</v>
      </c>
      <c r="DU41" s="145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5">
        <f t="shared" si="179"/>
        <v>1</v>
      </c>
      <c r="EW41" s="145">
        <v>4.57</v>
      </c>
      <c r="EX41" s="145">
        <v>4.62</v>
      </c>
      <c r="EY41" s="145">
        <v>4.62</v>
      </c>
      <c r="EZ41" s="145">
        <v>4.6399999999999997</v>
      </c>
      <c r="FA41" s="145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5">
        <f t="shared" si="180"/>
        <v>1</v>
      </c>
      <c r="GC41" s="145">
        <v>14.99</v>
      </c>
      <c r="GD41" s="145">
        <v>15.38</v>
      </c>
      <c r="GE41" s="145">
        <v>15.38</v>
      </c>
      <c r="GF41" s="145">
        <v>15.44</v>
      </c>
      <c r="GG41" s="145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3">
        <v>1</v>
      </c>
      <c r="HI41" s="218">
        <v>0.94</v>
      </c>
      <c r="HJ41" s="229">
        <v>0.94</v>
      </c>
      <c r="HK41" s="229">
        <v>0.94</v>
      </c>
      <c r="HM41" s="373">
        <f t="shared" si="173"/>
        <v>1</v>
      </c>
      <c r="HN41" s="145">
        <v>1</v>
      </c>
    </row>
    <row r="42" spans="1:225" hidden="1" x14ac:dyDescent="0.2">
      <c r="A42" s="373">
        <f t="shared" si="172"/>
        <v>38</v>
      </c>
      <c r="B42" s="149" t="s">
        <v>155</v>
      </c>
      <c r="C42" s="150">
        <v>0.98099999999999998</v>
      </c>
      <c r="D42" s="150">
        <v>0.98799999999999999</v>
      </c>
      <c r="E42" s="150">
        <v>0.94099999999999995</v>
      </c>
      <c r="F42" s="150">
        <v>1.038</v>
      </c>
      <c r="G42" s="150"/>
      <c r="H42" s="226">
        <f ca="1">OFFSET($HH42,0,'Расчет стоимости'!$M$10,1,1)</f>
        <v>0.94</v>
      </c>
      <c r="I42" s="150">
        <v>1</v>
      </c>
      <c r="J42" s="150">
        <v>1</v>
      </c>
      <c r="K42" s="149">
        <v>1</v>
      </c>
      <c r="L42" s="149">
        <v>1</v>
      </c>
      <c r="M42" s="372">
        <v>6.0000000000000001E-3</v>
      </c>
      <c r="N42" s="145">
        <v>4.0000000000000001E-3</v>
      </c>
      <c r="O42" s="145">
        <v>3.0000000000000001E-3</v>
      </c>
      <c r="P42" s="145">
        <v>6.9999999999999993E-3</v>
      </c>
      <c r="Q42" s="145">
        <v>0</v>
      </c>
      <c r="R42" s="152" t="s">
        <v>239</v>
      </c>
      <c r="T42" s="225">
        <f t="shared" si="174"/>
        <v>1</v>
      </c>
      <c r="U42" s="225">
        <f t="shared" si="174"/>
        <v>1</v>
      </c>
      <c r="V42" s="225">
        <f t="shared" si="174"/>
        <v>1</v>
      </c>
      <c r="W42" s="225">
        <f t="shared" si="174"/>
        <v>1</v>
      </c>
      <c r="X42" s="145">
        <f t="shared" si="175"/>
        <v>1</v>
      </c>
      <c r="Y42" s="145">
        <v>5.4</v>
      </c>
      <c r="Z42" s="145">
        <v>5.53</v>
      </c>
      <c r="AA42" s="145">
        <v>5.53</v>
      </c>
      <c r="AB42" s="145">
        <v>5.55</v>
      </c>
      <c r="AC42" s="145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5">
        <f t="shared" si="176"/>
        <v>1</v>
      </c>
      <c r="BE42" s="145">
        <v>3.49</v>
      </c>
      <c r="BF42" s="145">
        <v>3.58</v>
      </c>
      <c r="BG42" s="145">
        <v>3.58</v>
      </c>
      <c r="BH42" s="145">
        <v>3.59</v>
      </c>
      <c r="BI42" s="145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5">
        <f t="shared" si="177"/>
        <v>1</v>
      </c>
      <c r="CK42" s="145">
        <v>3.01</v>
      </c>
      <c r="CL42" s="145">
        <v>3.09</v>
      </c>
      <c r="CM42" s="145">
        <v>3.09</v>
      </c>
      <c r="CN42" s="145">
        <v>3.1</v>
      </c>
      <c r="CO42" s="145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5">
        <f t="shared" si="178"/>
        <v>1</v>
      </c>
      <c r="DQ42" s="145">
        <v>4.16</v>
      </c>
      <c r="DR42" s="145">
        <v>4.2699999999999996</v>
      </c>
      <c r="DS42" s="145">
        <v>4.2699999999999996</v>
      </c>
      <c r="DT42" s="145">
        <v>4.29</v>
      </c>
      <c r="DU42" s="145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5">
        <f t="shared" si="179"/>
        <v>1</v>
      </c>
      <c r="EW42" s="145">
        <v>3.37</v>
      </c>
      <c r="EX42" s="145">
        <v>3.45</v>
      </c>
      <c r="EY42" s="145">
        <v>3.45</v>
      </c>
      <c r="EZ42" s="145">
        <v>3.46</v>
      </c>
      <c r="FA42" s="145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5">
        <f t="shared" si="180"/>
        <v>1</v>
      </c>
      <c r="GC42" s="145">
        <v>9.99</v>
      </c>
      <c r="GD42" s="145">
        <v>10.25</v>
      </c>
      <c r="GE42" s="145">
        <v>10.25</v>
      </c>
      <c r="GF42" s="145">
        <v>10.29</v>
      </c>
      <c r="GG42" s="145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3">
        <v>1</v>
      </c>
      <c r="HI42" s="218">
        <v>0.94</v>
      </c>
      <c r="HJ42" s="229">
        <v>0.94</v>
      </c>
      <c r="HK42" s="229">
        <v>0.94</v>
      </c>
      <c r="HM42" s="373">
        <f t="shared" si="173"/>
        <v>1</v>
      </c>
      <c r="HN42" s="145">
        <v>1</v>
      </c>
    </row>
    <row r="43" spans="1:225" ht="12.75" hidden="1" customHeight="1" x14ac:dyDescent="0.2">
      <c r="A43" s="373">
        <f t="shared" si="172"/>
        <v>39</v>
      </c>
      <c r="B43" s="149" t="s">
        <v>1247</v>
      </c>
      <c r="C43" s="150">
        <v>1.091</v>
      </c>
      <c r="D43" s="150">
        <v>1.097</v>
      </c>
      <c r="E43" s="150">
        <v>1.1339999999999999</v>
      </c>
      <c r="F43" s="150">
        <v>0.86099999999999999</v>
      </c>
      <c r="G43" s="150"/>
      <c r="H43" s="226">
        <f ca="1">OFFSET($HH43,0,'Расчет стоимости'!$M$10,1,1)</f>
        <v>0.94</v>
      </c>
      <c r="I43" s="150">
        <v>1</v>
      </c>
      <c r="J43" s="150">
        <v>1</v>
      </c>
      <c r="K43" s="149">
        <v>1</v>
      </c>
      <c r="L43" s="149">
        <v>1</v>
      </c>
      <c r="M43" s="372">
        <v>6.0000000000000001E-3</v>
      </c>
      <c r="N43" s="145">
        <v>4.0000000000000001E-3</v>
      </c>
      <c r="O43" s="145">
        <v>3.0000000000000001E-3</v>
      </c>
      <c r="P43" s="145">
        <v>6.9999999999999993E-3</v>
      </c>
      <c r="Q43" s="145">
        <v>0</v>
      </c>
      <c r="R43" s="152" t="s">
        <v>239</v>
      </c>
      <c r="T43" s="225">
        <f t="shared" si="174"/>
        <v>1</v>
      </c>
      <c r="U43" s="225">
        <f t="shared" si="174"/>
        <v>1</v>
      </c>
      <c r="V43" s="225">
        <f t="shared" si="174"/>
        <v>1</v>
      </c>
      <c r="W43" s="225">
        <f t="shared" si="174"/>
        <v>1</v>
      </c>
      <c r="X43" s="145">
        <f t="shared" si="175"/>
        <v>1</v>
      </c>
      <c r="Y43" s="145">
        <v>5.77</v>
      </c>
      <c r="Z43" s="145">
        <v>5.92</v>
      </c>
      <c r="AA43" s="145">
        <v>5.92</v>
      </c>
      <c r="AB43" s="145">
        <v>5.94</v>
      </c>
      <c r="AC43" s="145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5">
        <f t="shared" si="176"/>
        <v>1</v>
      </c>
      <c r="BE43" s="145">
        <v>3.88</v>
      </c>
      <c r="BF43" s="145">
        <v>3.88</v>
      </c>
      <c r="BG43" s="145">
        <v>3.88</v>
      </c>
      <c r="BH43" s="145">
        <v>3.86</v>
      </c>
      <c r="BI43" s="145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5">
        <f t="shared" si="177"/>
        <v>1</v>
      </c>
      <c r="CK43" s="145">
        <v>3.82</v>
      </c>
      <c r="CL43" s="145">
        <v>3.83</v>
      </c>
      <c r="CM43" s="145">
        <v>3.83</v>
      </c>
      <c r="CN43" s="145">
        <v>3.85</v>
      </c>
      <c r="CO43" s="145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5">
        <f t="shared" si="178"/>
        <v>1</v>
      </c>
      <c r="DQ43" s="145">
        <v>5.03</v>
      </c>
      <c r="DR43" s="145">
        <v>5.03</v>
      </c>
      <c r="DS43" s="145">
        <v>5.03</v>
      </c>
      <c r="DT43" s="145">
        <v>5.05</v>
      </c>
      <c r="DU43" s="145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5">
        <f t="shared" si="179"/>
        <v>1</v>
      </c>
      <c r="EW43" s="145">
        <v>4.2699999999999996</v>
      </c>
      <c r="EX43" s="145">
        <v>4.28</v>
      </c>
      <c r="EY43" s="145">
        <v>4.28</v>
      </c>
      <c r="EZ43" s="145">
        <v>4.3</v>
      </c>
      <c r="FA43" s="145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5">
        <f t="shared" si="180"/>
        <v>1</v>
      </c>
      <c r="GC43" s="145">
        <v>13.8</v>
      </c>
      <c r="GD43" s="145">
        <v>14.15</v>
      </c>
      <c r="GE43" s="145">
        <v>14.15</v>
      </c>
      <c r="GF43" s="145">
        <v>14.21</v>
      </c>
      <c r="GG43" s="145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3">
        <v>1</v>
      </c>
      <c r="HI43" s="218">
        <v>0.94</v>
      </c>
      <c r="HJ43" s="229">
        <v>0.94</v>
      </c>
      <c r="HK43" s="229">
        <v>0.94</v>
      </c>
      <c r="HM43" s="373">
        <f t="shared" si="173"/>
        <v>1</v>
      </c>
      <c r="HN43" s="145">
        <v>1</v>
      </c>
    </row>
    <row r="44" spans="1:225" ht="12.75" hidden="1" customHeight="1" x14ac:dyDescent="0.2">
      <c r="A44" s="373">
        <f t="shared" si="172"/>
        <v>40</v>
      </c>
      <c r="B44" s="149" t="s">
        <v>153</v>
      </c>
      <c r="C44" s="150">
        <v>0.88100000000000001</v>
      </c>
      <c r="D44" s="150">
        <v>0.86799999999999999</v>
      </c>
      <c r="E44" s="150">
        <v>0.91100000000000003</v>
      </c>
      <c r="F44" s="150">
        <v>0.93700000000000006</v>
      </c>
      <c r="G44" s="150"/>
      <c r="H44" s="226">
        <f ca="1">OFFSET($HH44,0,'Расчет стоимости'!$M$10,1,1)</f>
        <v>0.94</v>
      </c>
      <c r="I44" s="150">
        <v>1</v>
      </c>
      <c r="J44" s="150">
        <v>1</v>
      </c>
      <c r="K44" s="149">
        <v>1</v>
      </c>
      <c r="L44" s="149">
        <v>1</v>
      </c>
      <c r="M44" s="372">
        <v>6.0000000000000001E-3</v>
      </c>
      <c r="N44" s="145">
        <v>4.0000000000000001E-3</v>
      </c>
      <c r="O44" s="145">
        <v>3.0000000000000001E-3</v>
      </c>
      <c r="P44" s="145">
        <v>6.9999999999999993E-3</v>
      </c>
      <c r="Q44" s="145">
        <v>0</v>
      </c>
      <c r="R44" s="152" t="s">
        <v>239</v>
      </c>
      <c r="T44" s="225">
        <f t="shared" si="174"/>
        <v>1</v>
      </c>
      <c r="U44" s="225">
        <f t="shared" si="174"/>
        <v>1</v>
      </c>
      <c r="V44" s="225">
        <f t="shared" si="174"/>
        <v>1</v>
      </c>
      <c r="W44" s="225">
        <f t="shared" si="174"/>
        <v>1</v>
      </c>
      <c r="X44" s="145">
        <f t="shared" si="175"/>
        <v>1</v>
      </c>
      <c r="Y44" s="145">
        <v>5.65</v>
      </c>
      <c r="Z44" s="145">
        <v>5.66</v>
      </c>
      <c r="AA44" s="145">
        <v>5.66</v>
      </c>
      <c r="AB44" s="145">
        <v>5.68</v>
      </c>
      <c r="AC44" s="145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5">
        <f t="shared" si="176"/>
        <v>1</v>
      </c>
      <c r="BE44" s="145">
        <v>3.75</v>
      </c>
      <c r="BF44" s="145">
        <v>3.75</v>
      </c>
      <c r="BG44" s="145">
        <v>3.75</v>
      </c>
      <c r="BH44" s="145">
        <v>3.77</v>
      </c>
      <c r="BI44" s="145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5">
        <f t="shared" si="177"/>
        <v>1</v>
      </c>
      <c r="CK44" s="145">
        <v>3.89</v>
      </c>
      <c r="CL44" s="145">
        <v>3.99</v>
      </c>
      <c r="CM44" s="145">
        <v>3.99</v>
      </c>
      <c r="CN44" s="145">
        <v>4.01</v>
      </c>
      <c r="CO44" s="145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5">
        <f t="shared" si="178"/>
        <v>1</v>
      </c>
      <c r="DQ44" s="145">
        <v>4.58</v>
      </c>
      <c r="DR44" s="145">
        <v>4.68</v>
      </c>
      <c r="DS44" s="145">
        <v>4.68</v>
      </c>
      <c r="DT44" s="145">
        <v>4.7</v>
      </c>
      <c r="DU44" s="145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5">
        <f t="shared" si="179"/>
        <v>1</v>
      </c>
      <c r="EW44" s="145">
        <v>4.0999999999999996</v>
      </c>
      <c r="EX44" s="145">
        <v>4.2</v>
      </c>
      <c r="EY44" s="145">
        <v>4.2</v>
      </c>
      <c r="EZ44" s="145">
        <v>4.22</v>
      </c>
      <c r="FA44" s="145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5">
        <f t="shared" si="180"/>
        <v>1</v>
      </c>
      <c r="GC44" s="145">
        <v>9.43</v>
      </c>
      <c r="GD44" s="145">
        <v>9.68</v>
      </c>
      <c r="GE44" s="145">
        <v>9.68</v>
      </c>
      <c r="GF44" s="145">
        <v>9.7200000000000006</v>
      </c>
      <c r="GG44" s="145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3">
        <v>1</v>
      </c>
      <c r="HI44" s="218">
        <v>0.94</v>
      </c>
      <c r="HJ44" s="229">
        <v>0.94</v>
      </c>
      <c r="HK44" s="229">
        <v>0.94</v>
      </c>
      <c r="HM44" s="373">
        <f t="shared" si="173"/>
        <v>1</v>
      </c>
      <c r="HN44" s="145">
        <v>1</v>
      </c>
    </row>
    <row r="45" spans="1:225" ht="12.75" hidden="1" customHeight="1" x14ac:dyDescent="0.2">
      <c r="A45" s="373">
        <f t="shared" si="172"/>
        <v>41</v>
      </c>
      <c r="B45" s="149" t="s">
        <v>181</v>
      </c>
      <c r="C45" s="150">
        <v>1.093</v>
      </c>
      <c r="D45" s="150">
        <v>1.075</v>
      </c>
      <c r="E45" s="150">
        <v>1.1499999999999999</v>
      </c>
      <c r="F45" s="150">
        <v>1.103</v>
      </c>
      <c r="G45" s="150"/>
      <c r="H45" s="226">
        <f ca="1">OFFSET($HH45,0,'Расчет стоимости'!$M$10,1,1)</f>
        <v>0.94</v>
      </c>
      <c r="I45" s="150">
        <v>1</v>
      </c>
      <c r="J45" s="150">
        <v>1</v>
      </c>
      <c r="K45" s="149">
        <v>1</v>
      </c>
      <c r="L45" s="149">
        <v>1</v>
      </c>
      <c r="M45" s="372">
        <v>6.0000000000000001E-3</v>
      </c>
      <c r="N45" s="145">
        <v>4.0000000000000001E-3</v>
      </c>
      <c r="O45" s="145">
        <v>3.0000000000000001E-3</v>
      </c>
      <c r="P45" s="145">
        <v>6.9999999999999993E-3</v>
      </c>
      <c r="Q45" s="145">
        <v>0</v>
      </c>
      <c r="R45" s="152" t="s">
        <v>239</v>
      </c>
      <c r="T45" s="225">
        <f t="shared" si="174"/>
        <v>1</v>
      </c>
      <c r="U45" s="225">
        <f t="shared" si="174"/>
        <v>1</v>
      </c>
      <c r="V45" s="225">
        <f t="shared" si="174"/>
        <v>1</v>
      </c>
      <c r="W45" s="225">
        <f t="shared" si="174"/>
        <v>1</v>
      </c>
      <c r="X45" s="145">
        <f t="shared" si="175"/>
        <v>1</v>
      </c>
      <c r="Y45" s="145">
        <v>6.09</v>
      </c>
      <c r="Z45" s="145">
        <v>6.25</v>
      </c>
      <c r="AA45" s="145">
        <v>6.25</v>
      </c>
      <c r="AB45" s="145">
        <v>6.28</v>
      </c>
      <c r="AC45" s="145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5">
        <f t="shared" si="176"/>
        <v>1</v>
      </c>
      <c r="BE45" s="145">
        <v>3.9</v>
      </c>
      <c r="BF45" s="145">
        <v>3.98</v>
      </c>
      <c r="BG45" s="145">
        <v>3.98</v>
      </c>
      <c r="BH45" s="145">
        <v>4</v>
      </c>
      <c r="BI45" s="145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5">
        <f t="shared" si="177"/>
        <v>1</v>
      </c>
      <c r="CK45" s="145">
        <v>4.1100000000000003</v>
      </c>
      <c r="CL45" s="145">
        <v>4.1100000000000003</v>
      </c>
      <c r="CM45" s="145">
        <v>4.1100000000000003</v>
      </c>
      <c r="CN45" s="145">
        <v>4.13</v>
      </c>
      <c r="CO45" s="145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5">
        <f t="shared" si="178"/>
        <v>1</v>
      </c>
      <c r="DQ45" s="145">
        <v>5.12</v>
      </c>
      <c r="DR45" s="145">
        <v>5.24</v>
      </c>
      <c r="DS45" s="145">
        <v>5.24</v>
      </c>
      <c r="DT45" s="145">
        <v>5.26</v>
      </c>
      <c r="DU45" s="145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5">
        <f t="shared" si="179"/>
        <v>1</v>
      </c>
      <c r="EW45" s="145">
        <v>4.3899999999999997</v>
      </c>
      <c r="EX45" s="145">
        <v>4.46</v>
      </c>
      <c r="EY45" s="145">
        <v>4.46</v>
      </c>
      <c r="EZ45" s="145">
        <v>4.4800000000000004</v>
      </c>
      <c r="FA45" s="145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5">
        <f t="shared" si="180"/>
        <v>1</v>
      </c>
      <c r="GC45" s="145">
        <v>11.9</v>
      </c>
      <c r="GD45" s="145">
        <v>12.21</v>
      </c>
      <c r="GE45" s="145">
        <v>12.21</v>
      </c>
      <c r="GF45" s="145">
        <v>12.26</v>
      </c>
      <c r="GG45" s="145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3">
        <v>1</v>
      </c>
      <c r="HI45" s="218">
        <v>0.94</v>
      </c>
      <c r="HJ45" s="229">
        <v>0.94</v>
      </c>
      <c r="HK45" s="229">
        <v>0.94</v>
      </c>
      <c r="HM45" s="373">
        <f t="shared" si="173"/>
        <v>4</v>
      </c>
      <c r="HN45" s="145">
        <v>1</v>
      </c>
      <c r="HO45" s="219">
        <v>1.05</v>
      </c>
      <c r="HP45" s="219">
        <v>1.08</v>
      </c>
      <c r="HQ45" s="219">
        <v>1.1299999999999999</v>
      </c>
    </row>
    <row r="46" spans="1:225" ht="12.75" hidden="1" customHeight="1" x14ac:dyDescent="0.2">
      <c r="A46" s="373">
        <f t="shared" si="172"/>
        <v>42</v>
      </c>
      <c r="B46" s="149" t="s">
        <v>154</v>
      </c>
      <c r="C46" s="150">
        <v>1.089</v>
      </c>
      <c r="D46" s="150">
        <v>0.99199999999999999</v>
      </c>
      <c r="E46" s="150">
        <v>1.38</v>
      </c>
      <c r="F46" s="150">
        <v>1.224</v>
      </c>
      <c r="G46" s="150"/>
      <c r="H46" s="226">
        <f ca="1">OFFSET($HH46,0,'Расчет стоимости'!$M$10,1,1)</f>
        <v>0.94</v>
      </c>
      <c r="I46" s="150">
        <v>1</v>
      </c>
      <c r="J46" s="150">
        <v>1</v>
      </c>
      <c r="K46" s="149">
        <v>1</v>
      </c>
      <c r="L46" s="149">
        <v>1</v>
      </c>
      <c r="M46" s="372">
        <v>6.0000000000000001E-3</v>
      </c>
      <c r="N46" s="145">
        <v>4.0000000000000001E-3</v>
      </c>
      <c r="O46" s="145">
        <v>3.0000000000000001E-3</v>
      </c>
      <c r="P46" s="145">
        <v>6.9999999999999993E-3</v>
      </c>
      <c r="Q46" s="145">
        <v>0</v>
      </c>
      <c r="R46" s="152" t="s">
        <v>239</v>
      </c>
      <c r="T46" s="225">
        <f t="shared" ref="T46:W65" si="181">IF(IFERROR(HLOOKUP(T$5,$HN$5:$IQ$91,$A46,FALSE),0)=0,1,HLOOKUP(T$5,$HN$5:$IQ$91,$A46,FALSE))</f>
        <v>1</v>
      </c>
      <c r="U46" s="225">
        <f t="shared" si="181"/>
        <v>1</v>
      </c>
      <c r="V46" s="225">
        <f t="shared" si="181"/>
        <v>1</v>
      </c>
      <c r="W46" s="225">
        <f t="shared" si="181"/>
        <v>1</v>
      </c>
      <c r="X46" s="145">
        <f t="shared" si="175"/>
        <v>1</v>
      </c>
      <c r="Y46" s="145">
        <v>6.62</v>
      </c>
      <c r="Z46" s="145">
        <v>6.62</v>
      </c>
      <c r="AA46" s="145">
        <v>6.62</v>
      </c>
      <c r="AB46" s="145">
        <v>6.65</v>
      </c>
      <c r="AC46" s="145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5">
        <f t="shared" si="176"/>
        <v>1</v>
      </c>
      <c r="BE46" s="145">
        <v>4.5199999999999996</v>
      </c>
      <c r="BF46" s="145">
        <v>4.49</v>
      </c>
      <c r="BG46" s="145">
        <v>4.49</v>
      </c>
      <c r="BH46" s="145">
        <v>4.51</v>
      </c>
      <c r="BI46" s="145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5">
        <f t="shared" si="177"/>
        <v>1</v>
      </c>
      <c r="CK46" s="145">
        <v>3.99</v>
      </c>
      <c r="CL46" s="145">
        <v>3.87</v>
      </c>
      <c r="CM46" s="145">
        <v>3.87</v>
      </c>
      <c r="CN46" s="145">
        <v>3.89</v>
      </c>
      <c r="CO46" s="145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5">
        <f t="shared" si="178"/>
        <v>1</v>
      </c>
      <c r="DQ46" s="145">
        <v>6.18</v>
      </c>
      <c r="DR46" s="145">
        <v>6.13</v>
      </c>
      <c r="DS46" s="145">
        <v>6.13</v>
      </c>
      <c r="DT46" s="145">
        <v>6.15</v>
      </c>
      <c r="DU46" s="145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5">
        <f t="shared" si="179"/>
        <v>1</v>
      </c>
      <c r="EW46" s="145">
        <v>4.59</v>
      </c>
      <c r="EX46" s="145">
        <v>4.4000000000000004</v>
      </c>
      <c r="EY46" s="145">
        <v>4.4000000000000004</v>
      </c>
      <c r="EZ46" s="145">
        <v>4.42</v>
      </c>
      <c r="FA46" s="145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5">
        <f t="shared" si="180"/>
        <v>1</v>
      </c>
      <c r="GC46" s="145">
        <v>15.39</v>
      </c>
      <c r="GD46" s="145">
        <v>15.58</v>
      </c>
      <c r="GE46" s="145">
        <v>15.58</v>
      </c>
      <c r="GF46" s="145">
        <v>15.64</v>
      </c>
      <c r="GG46" s="145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3">
        <v>1</v>
      </c>
      <c r="HI46" s="218">
        <v>0.94</v>
      </c>
      <c r="HJ46" s="229">
        <v>0.94</v>
      </c>
      <c r="HK46" s="229">
        <v>0.94</v>
      </c>
      <c r="HM46" s="373">
        <f t="shared" si="173"/>
        <v>1</v>
      </c>
      <c r="HN46" s="145">
        <v>1</v>
      </c>
    </row>
    <row r="47" spans="1:225" ht="12.75" hidden="1" customHeight="1" x14ac:dyDescent="0.2">
      <c r="A47" s="373">
        <f t="shared" si="172"/>
        <v>43</v>
      </c>
      <c r="B47" s="149" t="s">
        <v>157</v>
      </c>
      <c r="C47" s="150">
        <v>0.89</v>
      </c>
      <c r="D47" s="150">
        <v>0.92200000000000004</v>
      </c>
      <c r="E47" s="150">
        <v>0.78200000000000003</v>
      </c>
      <c r="F47" s="150">
        <v>0.88500000000000001</v>
      </c>
      <c r="G47" s="150"/>
      <c r="H47" s="226">
        <f ca="1">OFFSET($HH47,0,'Расчет стоимости'!$M$10,1,1)</f>
        <v>0.94</v>
      </c>
      <c r="I47" s="150">
        <v>1</v>
      </c>
      <c r="J47" s="150">
        <v>1</v>
      </c>
      <c r="K47" s="149">
        <v>1</v>
      </c>
      <c r="L47" s="149">
        <v>1</v>
      </c>
      <c r="M47" s="372">
        <v>6.0000000000000001E-3</v>
      </c>
      <c r="N47" s="145">
        <v>4.0000000000000001E-3</v>
      </c>
      <c r="O47" s="145">
        <v>3.0000000000000001E-3</v>
      </c>
      <c r="P47" s="145">
        <v>6.9999999999999993E-3</v>
      </c>
      <c r="Q47" s="145">
        <v>0</v>
      </c>
      <c r="R47" s="152" t="s">
        <v>239</v>
      </c>
      <c r="T47" s="225">
        <f t="shared" si="181"/>
        <v>1</v>
      </c>
      <c r="U47" s="225">
        <f t="shared" si="181"/>
        <v>1</v>
      </c>
      <c r="V47" s="225">
        <f t="shared" si="181"/>
        <v>1</v>
      </c>
      <c r="W47" s="225">
        <f t="shared" si="181"/>
        <v>1</v>
      </c>
      <c r="X47" s="145">
        <f t="shared" si="175"/>
        <v>1</v>
      </c>
      <c r="Y47" s="145">
        <v>5.68</v>
      </c>
      <c r="Z47" s="145">
        <v>5.64</v>
      </c>
      <c r="AA47" s="145">
        <v>5.64</v>
      </c>
      <c r="AB47" s="145">
        <v>5.66</v>
      </c>
      <c r="AC47" s="145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5">
        <f t="shared" si="176"/>
        <v>1</v>
      </c>
      <c r="BE47" s="145">
        <v>3.6</v>
      </c>
      <c r="BF47" s="145">
        <v>3.58</v>
      </c>
      <c r="BG47" s="145">
        <v>3.58</v>
      </c>
      <c r="BH47" s="145">
        <v>3.59</v>
      </c>
      <c r="BI47" s="145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5">
        <f t="shared" si="177"/>
        <v>1</v>
      </c>
      <c r="CK47" s="145">
        <v>3.84</v>
      </c>
      <c r="CL47" s="145">
        <v>3.81</v>
      </c>
      <c r="CM47" s="145">
        <v>3.81</v>
      </c>
      <c r="CN47" s="145">
        <v>3.83</v>
      </c>
      <c r="CO47" s="145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5">
        <f t="shared" si="178"/>
        <v>1</v>
      </c>
      <c r="DQ47" s="145">
        <v>4.21</v>
      </c>
      <c r="DR47" s="145">
        <v>4.18</v>
      </c>
      <c r="DS47" s="145">
        <v>4.18</v>
      </c>
      <c r="DT47" s="145">
        <v>4.2</v>
      </c>
      <c r="DU47" s="145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5">
        <f t="shared" si="179"/>
        <v>1</v>
      </c>
      <c r="EW47" s="145">
        <v>4.1500000000000004</v>
      </c>
      <c r="EX47" s="145">
        <v>4.12</v>
      </c>
      <c r="EY47" s="145">
        <v>4.12</v>
      </c>
      <c r="EZ47" s="145">
        <v>4.1399999999999997</v>
      </c>
      <c r="FA47" s="145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5">
        <f t="shared" si="180"/>
        <v>1</v>
      </c>
      <c r="GC47" s="145">
        <v>10.91</v>
      </c>
      <c r="GD47" s="145">
        <v>10.84</v>
      </c>
      <c r="GE47" s="145">
        <v>10.84</v>
      </c>
      <c r="GF47" s="145">
        <v>10.88</v>
      </c>
      <c r="GG47" s="145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3">
        <v>1</v>
      </c>
      <c r="HI47" s="218">
        <v>0.94</v>
      </c>
      <c r="HJ47" s="229">
        <v>0.94</v>
      </c>
      <c r="HK47" s="229">
        <v>0.94</v>
      </c>
      <c r="HM47" s="373">
        <f t="shared" si="173"/>
        <v>1</v>
      </c>
      <c r="HN47" s="145">
        <v>1</v>
      </c>
    </row>
    <row r="48" spans="1:225" ht="12.75" hidden="1" customHeight="1" x14ac:dyDescent="0.2">
      <c r="A48" s="373">
        <f t="shared" si="172"/>
        <v>44</v>
      </c>
      <c r="B48" s="149" t="s">
        <v>159</v>
      </c>
      <c r="C48" s="150">
        <v>1.133</v>
      </c>
      <c r="D48" s="150">
        <v>1.0840000000000001</v>
      </c>
      <c r="E48" s="150">
        <v>1.2649999999999999</v>
      </c>
      <c r="F48" s="150">
        <v>1.2470000000000001</v>
      </c>
      <c r="G48" s="150"/>
      <c r="H48" s="226">
        <f ca="1">OFFSET($HH48,0,'Расчет стоимости'!$M$10,1,1)</f>
        <v>1.0900000000000001</v>
      </c>
      <c r="I48" s="150">
        <v>1</v>
      </c>
      <c r="J48" s="150">
        <v>1</v>
      </c>
      <c r="K48" s="149">
        <v>1</v>
      </c>
      <c r="L48" s="149">
        <v>1</v>
      </c>
      <c r="M48" s="372">
        <v>3.2000000000000001E-2</v>
      </c>
      <c r="N48" s="145">
        <v>2.8999999999999998E-2</v>
      </c>
      <c r="O48" s="145">
        <v>1.3000000000000001E-2</v>
      </c>
      <c r="P48" s="145">
        <v>0.04</v>
      </c>
      <c r="Q48" s="145">
        <v>3.0000000000000001E-3</v>
      </c>
      <c r="R48" s="152" t="s">
        <v>236</v>
      </c>
      <c r="T48" s="225">
        <f t="shared" si="181"/>
        <v>1</v>
      </c>
      <c r="U48" s="225">
        <f t="shared" si="181"/>
        <v>1</v>
      </c>
      <c r="V48" s="225">
        <f t="shared" si="181"/>
        <v>1</v>
      </c>
      <c r="W48" s="225">
        <f t="shared" si="181"/>
        <v>1</v>
      </c>
      <c r="X48" s="145">
        <f t="shared" si="175"/>
        <v>1</v>
      </c>
      <c r="Y48" s="145">
        <v>5.73</v>
      </c>
      <c r="Z48" s="145">
        <v>5.83</v>
      </c>
      <c r="AA48" s="145">
        <v>5.83</v>
      </c>
      <c r="AB48" s="145">
        <v>5.85</v>
      </c>
      <c r="AC48" s="145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5">
        <f t="shared" si="176"/>
        <v>1</v>
      </c>
      <c r="BE48" s="145">
        <v>3.73</v>
      </c>
      <c r="BF48" s="145">
        <v>3.38</v>
      </c>
      <c r="BG48" s="145">
        <v>3.38</v>
      </c>
      <c r="BH48" s="145">
        <v>3.39</v>
      </c>
      <c r="BI48" s="145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5">
        <f t="shared" si="177"/>
        <v>1</v>
      </c>
      <c r="CK48" s="145">
        <v>4.43</v>
      </c>
      <c r="CL48" s="145">
        <v>3.47</v>
      </c>
      <c r="CM48" s="145">
        <v>3.47</v>
      </c>
      <c r="CN48" s="145">
        <v>3.48</v>
      </c>
      <c r="CO48" s="145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5">
        <f t="shared" si="178"/>
        <v>1</v>
      </c>
      <c r="DQ48" s="145">
        <v>4.96</v>
      </c>
      <c r="DR48" s="145">
        <v>4.63</v>
      </c>
      <c r="DS48" s="145">
        <v>4.63</v>
      </c>
      <c r="DT48" s="145">
        <v>4.6500000000000004</v>
      </c>
      <c r="DU48" s="145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5">
        <f t="shared" si="179"/>
        <v>1</v>
      </c>
      <c r="EW48" s="145">
        <v>5.0599999999999996</v>
      </c>
      <c r="EX48" s="145">
        <v>4.09</v>
      </c>
      <c r="EY48" s="145">
        <v>4.09</v>
      </c>
      <c r="EZ48" s="145">
        <v>4.1100000000000003</v>
      </c>
      <c r="FA48" s="145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5">
        <f t="shared" si="180"/>
        <v>1</v>
      </c>
      <c r="GC48" s="145">
        <v>12.21</v>
      </c>
      <c r="GD48" s="145">
        <v>12.24</v>
      </c>
      <c r="GE48" s="145">
        <v>12.24</v>
      </c>
      <c r="GF48" s="145">
        <v>12.29</v>
      </c>
      <c r="GG48" s="145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3">
        <v>1</v>
      </c>
      <c r="HI48" s="218">
        <v>1.0900000000000001</v>
      </c>
      <c r="HJ48" s="229">
        <v>1.0900000000000001</v>
      </c>
      <c r="HK48" s="229">
        <v>1.0900000000000001</v>
      </c>
      <c r="HM48" s="373">
        <f t="shared" si="173"/>
        <v>1</v>
      </c>
      <c r="HN48" s="145">
        <v>1</v>
      </c>
    </row>
    <row r="49" spans="1:228" ht="12.75" hidden="1" customHeight="1" x14ac:dyDescent="0.2">
      <c r="A49" s="373">
        <f t="shared" si="172"/>
        <v>45</v>
      </c>
      <c r="B49" s="149" t="s">
        <v>136</v>
      </c>
      <c r="C49" s="150">
        <v>1.054</v>
      </c>
      <c r="D49" s="150">
        <v>1.1160000000000001</v>
      </c>
      <c r="E49" s="150">
        <v>0.84399999999999997</v>
      </c>
      <c r="F49" s="150">
        <v>1.0580000000000001</v>
      </c>
      <c r="G49" s="150"/>
      <c r="H49" s="226">
        <f ca="1">OFFSET($HH49,0,'Расчет стоимости'!$M$10,1,1)</f>
        <v>1</v>
      </c>
      <c r="I49" s="150">
        <v>1</v>
      </c>
      <c r="J49" s="150">
        <v>1</v>
      </c>
      <c r="K49" s="149">
        <v>1</v>
      </c>
      <c r="L49" s="149">
        <v>1</v>
      </c>
      <c r="M49" s="372">
        <v>3.2000000000000001E-2</v>
      </c>
      <c r="N49" s="145">
        <v>2.8999999999999998E-2</v>
      </c>
      <c r="O49" s="145">
        <v>1.3000000000000001E-2</v>
      </c>
      <c r="P49" s="145">
        <v>0.04</v>
      </c>
      <c r="Q49" s="145">
        <v>3.0000000000000001E-3</v>
      </c>
      <c r="R49" s="152" t="s">
        <v>236</v>
      </c>
      <c r="T49" s="225">
        <f t="shared" si="181"/>
        <v>1</v>
      </c>
      <c r="U49" s="225">
        <f t="shared" si="181"/>
        <v>1</v>
      </c>
      <c r="V49" s="225">
        <f t="shared" si="181"/>
        <v>1</v>
      </c>
      <c r="W49" s="225">
        <f t="shared" si="181"/>
        <v>1</v>
      </c>
      <c r="X49" s="145">
        <f t="shared" si="175"/>
        <v>1</v>
      </c>
      <c r="Y49" s="145">
        <v>5.86</v>
      </c>
      <c r="Z49" s="145">
        <v>5.99</v>
      </c>
      <c r="AA49" s="145">
        <v>5.99</v>
      </c>
      <c r="AB49" s="145">
        <v>6.01</v>
      </c>
      <c r="AC49" s="145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5">
        <f t="shared" si="176"/>
        <v>1</v>
      </c>
      <c r="BE49" s="145">
        <v>4.25</v>
      </c>
      <c r="BF49" s="145">
        <v>4.2</v>
      </c>
      <c r="BG49" s="145">
        <v>4.2</v>
      </c>
      <c r="BH49" s="145">
        <v>4.22</v>
      </c>
      <c r="BI49" s="145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5">
        <f t="shared" si="177"/>
        <v>1</v>
      </c>
      <c r="CK49" s="145">
        <v>3.87</v>
      </c>
      <c r="CL49" s="145">
        <v>3.83</v>
      </c>
      <c r="CM49" s="145">
        <v>3.83</v>
      </c>
      <c r="CN49" s="145">
        <v>3.85</v>
      </c>
      <c r="CO49" s="145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5">
        <f t="shared" si="178"/>
        <v>1</v>
      </c>
      <c r="DQ49" s="145">
        <v>4.78</v>
      </c>
      <c r="DR49" s="145">
        <v>4.8499999999999996</v>
      </c>
      <c r="DS49" s="145">
        <v>4.8499999999999996</v>
      </c>
      <c r="DT49" s="145">
        <v>4.87</v>
      </c>
      <c r="DU49" s="145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5">
        <f t="shared" si="179"/>
        <v>1</v>
      </c>
      <c r="EW49" s="145">
        <v>3.87</v>
      </c>
      <c r="EX49" s="145">
        <v>3.87</v>
      </c>
      <c r="EY49" s="145">
        <v>3.87</v>
      </c>
      <c r="EZ49" s="145">
        <v>3.89</v>
      </c>
      <c r="FA49" s="145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5">
        <f t="shared" si="180"/>
        <v>1</v>
      </c>
      <c r="GC49" s="145">
        <v>9.76</v>
      </c>
      <c r="GD49" s="145">
        <v>10</v>
      </c>
      <c r="GE49" s="145">
        <v>10</v>
      </c>
      <c r="GF49" s="145">
        <v>10.039999999999999</v>
      </c>
      <c r="GG49" s="145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3">
        <v>1</v>
      </c>
      <c r="HI49" s="218">
        <v>1</v>
      </c>
      <c r="HJ49" s="229">
        <v>1</v>
      </c>
      <c r="HK49" s="229">
        <v>1</v>
      </c>
      <c r="HM49" s="373">
        <f t="shared" si="173"/>
        <v>1</v>
      </c>
      <c r="HN49" s="145">
        <v>1</v>
      </c>
    </row>
    <row r="50" spans="1:228" ht="12.75" hidden="1" customHeight="1" x14ac:dyDescent="0.2">
      <c r="A50" s="373">
        <f t="shared" si="172"/>
        <v>46</v>
      </c>
      <c r="B50" s="149" t="s">
        <v>137</v>
      </c>
      <c r="C50" s="150">
        <v>1.018</v>
      </c>
      <c r="D50" s="150">
        <v>0.98799999999999999</v>
      </c>
      <c r="E50" s="150">
        <v>0.93700000000000006</v>
      </c>
      <c r="F50" s="150">
        <v>1.677</v>
      </c>
      <c r="G50" s="150"/>
      <c r="H50" s="226">
        <f ca="1">OFFSET($HH50,0,'Расчет стоимости'!$M$10,1,1)</f>
        <v>1</v>
      </c>
      <c r="I50" s="150">
        <v>1</v>
      </c>
      <c r="J50" s="150">
        <v>1</v>
      </c>
      <c r="K50" s="149">
        <v>1</v>
      </c>
      <c r="L50" s="149">
        <v>1</v>
      </c>
      <c r="M50" s="372">
        <v>3.2000000000000001E-2</v>
      </c>
      <c r="N50" s="145">
        <v>2.8999999999999998E-2</v>
      </c>
      <c r="O50" s="145">
        <v>1.3000000000000001E-2</v>
      </c>
      <c r="P50" s="145">
        <v>0.04</v>
      </c>
      <c r="Q50" s="145">
        <v>3.0000000000000001E-3</v>
      </c>
      <c r="R50" s="152" t="s">
        <v>236</v>
      </c>
      <c r="T50" s="225">
        <f t="shared" si="181"/>
        <v>1</v>
      </c>
      <c r="U50" s="225">
        <f t="shared" si="181"/>
        <v>1</v>
      </c>
      <c r="V50" s="225">
        <f t="shared" si="181"/>
        <v>1</v>
      </c>
      <c r="W50" s="225">
        <f t="shared" si="181"/>
        <v>1</v>
      </c>
      <c r="X50" s="145">
        <f t="shared" si="175"/>
        <v>1</v>
      </c>
      <c r="Y50" s="145">
        <v>5.35</v>
      </c>
      <c r="Z50" s="145">
        <v>5.48</v>
      </c>
      <c r="AA50" s="145">
        <v>5.48</v>
      </c>
      <c r="AB50" s="145">
        <v>5.5</v>
      </c>
      <c r="AC50" s="145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5">
        <f t="shared" si="176"/>
        <v>1</v>
      </c>
      <c r="BE50" s="145">
        <v>3.94</v>
      </c>
      <c r="BF50" s="145">
        <v>3.89</v>
      </c>
      <c r="BG50" s="145">
        <v>3.89</v>
      </c>
      <c r="BH50" s="145">
        <v>3.91</v>
      </c>
      <c r="BI50" s="145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5">
        <f t="shared" si="177"/>
        <v>1</v>
      </c>
      <c r="CK50" s="145">
        <v>4.2699999999999996</v>
      </c>
      <c r="CL50" s="145">
        <v>4.21</v>
      </c>
      <c r="CM50" s="145">
        <v>4.21</v>
      </c>
      <c r="CN50" s="145">
        <v>4.2300000000000004</v>
      </c>
      <c r="CO50" s="145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5">
        <f t="shared" si="178"/>
        <v>1</v>
      </c>
      <c r="DQ50" s="145">
        <v>4.25</v>
      </c>
      <c r="DR50" s="145">
        <v>4.24</v>
      </c>
      <c r="DS50" s="145">
        <v>4.24</v>
      </c>
      <c r="DT50" s="145">
        <v>4.26</v>
      </c>
      <c r="DU50" s="145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5">
        <f t="shared" si="179"/>
        <v>1</v>
      </c>
      <c r="EW50" s="145">
        <v>4.71</v>
      </c>
      <c r="EX50" s="145">
        <v>4.68</v>
      </c>
      <c r="EY50" s="145">
        <v>4.68</v>
      </c>
      <c r="EZ50" s="145">
        <v>4.7</v>
      </c>
      <c r="FA50" s="145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5">
        <f t="shared" si="180"/>
        <v>1</v>
      </c>
      <c r="GC50" s="145">
        <v>9.39</v>
      </c>
      <c r="GD50" s="145">
        <v>9.4600000000000009</v>
      </c>
      <c r="GE50" s="145">
        <v>9.4600000000000009</v>
      </c>
      <c r="GF50" s="145">
        <v>9.5</v>
      </c>
      <c r="GG50" s="145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3">
        <v>1</v>
      </c>
      <c r="HI50" s="218">
        <v>1</v>
      </c>
      <c r="HJ50" s="229">
        <v>1</v>
      </c>
      <c r="HK50" s="229">
        <v>1</v>
      </c>
      <c r="HM50" s="373">
        <f t="shared" si="173"/>
        <v>1</v>
      </c>
      <c r="HN50" s="145">
        <v>1</v>
      </c>
    </row>
    <row r="51" spans="1:228" ht="12.75" hidden="1" customHeight="1" x14ac:dyDescent="0.2">
      <c r="A51" s="373">
        <f t="shared" si="172"/>
        <v>47</v>
      </c>
      <c r="B51" s="149" t="s">
        <v>145</v>
      </c>
      <c r="C51" s="150">
        <v>1.0209999999999999</v>
      </c>
      <c r="D51" s="150">
        <v>1.0289999999999999</v>
      </c>
      <c r="E51" s="150">
        <v>0.93799999999999994</v>
      </c>
      <c r="F51" s="150">
        <v>1.2230000000000001</v>
      </c>
      <c r="G51" s="150"/>
      <c r="H51" s="226">
        <f ca="1">OFFSET($HH51,0,'Расчет стоимости'!$M$10,1,1)</f>
        <v>1</v>
      </c>
      <c r="I51" s="150">
        <v>1</v>
      </c>
      <c r="J51" s="150">
        <v>1</v>
      </c>
      <c r="K51" s="149">
        <v>1</v>
      </c>
      <c r="L51" s="149">
        <v>1</v>
      </c>
      <c r="M51" s="372">
        <v>3.2000000000000001E-2</v>
      </c>
      <c r="N51" s="145">
        <v>2.8999999999999998E-2</v>
      </c>
      <c r="O51" s="145">
        <v>1.3000000000000001E-2</v>
      </c>
      <c r="P51" s="145">
        <v>0.04</v>
      </c>
      <c r="Q51" s="145">
        <v>3.0000000000000001E-3</v>
      </c>
      <c r="R51" s="152" t="s">
        <v>236</v>
      </c>
      <c r="T51" s="225">
        <f t="shared" si="181"/>
        <v>1</v>
      </c>
      <c r="U51" s="225">
        <f t="shared" si="181"/>
        <v>1</v>
      </c>
      <c r="V51" s="225">
        <f t="shared" si="181"/>
        <v>1</v>
      </c>
      <c r="W51" s="225">
        <f t="shared" si="181"/>
        <v>1</v>
      </c>
      <c r="X51" s="145">
        <f t="shared" si="175"/>
        <v>1</v>
      </c>
      <c r="Y51" s="145">
        <v>5.09</v>
      </c>
      <c r="Z51" s="145">
        <v>5.22</v>
      </c>
      <c r="AA51" s="145">
        <v>5.22</v>
      </c>
      <c r="AB51" s="145">
        <v>5.24</v>
      </c>
      <c r="AC51" s="145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5">
        <f t="shared" si="176"/>
        <v>1</v>
      </c>
      <c r="BE51" s="145">
        <v>3.41</v>
      </c>
      <c r="BF51" s="145">
        <v>3.43</v>
      </c>
      <c r="BG51" s="145">
        <v>3.43</v>
      </c>
      <c r="BH51" s="145">
        <v>3.44</v>
      </c>
      <c r="BI51" s="145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5">
        <f t="shared" si="177"/>
        <v>1</v>
      </c>
      <c r="CK51" s="145">
        <v>3.47</v>
      </c>
      <c r="CL51" s="145">
        <v>3.49</v>
      </c>
      <c r="CM51" s="145">
        <v>3.49</v>
      </c>
      <c r="CN51" s="145">
        <v>3.5</v>
      </c>
      <c r="CO51" s="145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5">
        <f t="shared" si="178"/>
        <v>1</v>
      </c>
      <c r="DQ51" s="145">
        <v>4.17</v>
      </c>
      <c r="DR51" s="145">
        <v>4.28</v>
      </c>
      <c r="DS51" s="145">
        <v>4.28</v>
      </c>
      <c r="DT51" s="145">
        <v>4.3</v>
      </c>
      <c r="DU51" s="145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5">
        <f t="shared" si="179"/>
        <v>1</v>
      </c>
      <c r="EW51" s="145">
        <v>3.94</v>
      </c>
      <c r="EX51" s="145">
        <v>4.01</v>
      </c>
      <c r="EY51" s="145">
        <v>4.01</v>
      </c>
      <c r="EZ51" s="145">
        <v>4.03</v>
      </c>
      <c r="FA51" s="145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5">
        <f t="shared" si="180"/>
        <v>1</v>
      </c>
      <c r="GC51" s="145">
        <v>9.52</v>
      </c>
      <c r="GD51" s="145">
        <v>9.7799999999999994</v>
      </c>
      <c r="GE51" s="145">
        <v>9.7799999999999994</v>
      </c>
      <c r="GF51" s="145">
        <v>9.82</v>
      </c>
      <c r="GG51" s="145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3">
        <v>1</v>
      </c>
      <c r="HI51" s="218">
        <v>1</v>
      </c>
      <c r="HJ51" s="229">
        <v>1</v>
      </c>
      <c r="HK51" s="229">
        <v>1</v>
      </c>
      <c r="HM51" s="373">
        <f t="shared" si="173"/>
        <v>1</v>
      </c>
      <c r="HN51" s="145">
        <v>1</v>
      </c>
    </row>
    <row r="52" spans="1:228" ht="12.75" hidden="1" customHeight="1" x14ac:dyDescent="0.2">
      <c r="A52" s="373">
        <f t="shared" si="172"/>
        <v>48</v>
      </c>
      <c r="B52" s="149" t="s">
        <v>160</v>
      </c>
      <c r="C52" s="150">
        <v>1.06</v>
      </c>
      <c r="D52" s="150">
        <v>1.0629999999999999</v>
      </c>
      <c r="E52" s="150">
        <v>1.0740000000000001</v>
      </c>
      <c r="F52" s="150">
        <v>0.98099999999999998</v>
      </c>
      <c r="G52" s="150"/>
      <c r="H52" s="226">
        <f ca="1">OFFSET($HH52,0,'Расчет стоимости'!$M$10,1,1)</f>
        <v>1.1100000000000001</v>
      </c>
      <c r="I52" s="150">
        <v>1</v>
      </c>
      <c r="J52" s="150">
        <v>1</v>
      </c>
      <c r="K52" s="149">
        <v>1</v>
      </c>
      <c r="L52" s="149">
        <v>1</v>
      </c>
      <c r="M52" s="372">
        <v>3.2000000000000001E-2</v>
      </c>
      <c r="N52" s="145">
        <v>2.8999999999999998E-2</v>
      </c>
      <c r="O52" s="145">
        <v>1.3000000000000001E-2</v>
      </c>
      <c r="P52" s="145">
        <v>0.04</v>
      </c>
      <c r="Q52" s="145">
        <v>3.0000000000000001E-3</v>
      </c>
      <c r="R52" s="152" t="s">
        <v>236</v>
      </c>
      <c r="T52" s="225">
        <f t="shared" si="181"/>
        <v>1</v>
      </c>
      <c r="U52" s="225">
        <f t="shared" si="181"/>
        <v>1</v>
      </c>
      <c r="V52" s="225">
        <f t="shared" si="181"/>
        <v>1</v>
      </c>
      <c r="W52" s="225">
        <f t="shared" si="181"/>
        <v>1</v>
      </c>
      <c r="X52" s="145">
        <f t="shared" si="175"/>
        <v>1</v>
      </c>
      <c r="Y52" s="145">
        <v>5.92</v>
      </c>
      <c r="Z52" s="145">
        <v>6.08</v>
      </c>
      <c r="AA52" s="145">
        <v>6.08</v>
      </c>
      <c r="AB52" s="145">
        <v>6.1</v>
      </c>
      <c r="AC52" s="145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5">
        <f t="shared" si="176"/>
        <v>1</v>
      </c>
      <c r="BE52" s="145">
        <v>3.61</v>
      </c>
      <c r="BF52" s="145">
        <v>3.64</v>
      </c>
      <c r="BG52" s="145">
        <v>3.64</v>
      </c>
      <c r="BH52" s="145">
        <v>3.65</v>
      </c>
      <c r="BI52" s="145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5">
        <f t="shared" si="177"/>
        <v>1</v>
      </c>
      <c r="CK52" s="145">
        <v>3.15</v>
      </c>
      <c r="CL52" s="145">
        <v>3.17</v>
      </c>
      <c r="CM52" s="145">
        <v>3.17</v>
      </c>
      <c r="CN52" s="145">
        <v>3.18</v>
      </c>
      <c r="CO52" s="145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5">
        <f t="shared" si="178"/>
        <v>1</v>
      </c>
      <c r="DQ52" s="145">
        <v>4.5599999999999996</v>
      </c>
      <c r="DR52" s="145">
        <v>4.68</v>
      </c>
      <c r="DS52" s="145">
        <v>4.68</v>
      </c>
      <c r="DT52" s="145">
        <v>4.7</v>
      </c>
      <c r="DU52" s="145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5">
        <f t="shared" si="179"/>
        <v>1</v>
      </c>
      <c r="EW52" s="145">
        <v>3.63</v>
      </c>
      <c r="EX52" s="145">
        <v>3.71</v>
      </c>
      <c r="EY52" s="145">
        <v>3.71</v>
      </c>
      <c r="EZ52" s="145">
        <v>3.72</v>
      </c>
      <c r="FA52" s="145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5">
        <f t="shared" si="180"/>
        <v>1</v>
      </c>
      <c r="GC52" s="145">
        <v>9.4700000000000006</v>
      </c>
      <c r="GD52" s="145">
        <v>9.7200000000000006</v>
      </c>
      <c r="GE52" s="145">
        <v>9.7200000000000006</v>
      </c>
      <c r="GF52" s="145">
        <v>9.76</v>
      </c>
      <c r="GG52" s="145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3">
        <v>1</v>
      </c>
      <c r="HI52" s="218">
        <v>1.1100000000000001</v>
      </c>
      <c r="HJ52" s="229">
        <v>1.1100000000000001</v>
      </c>
      <c r="HK52" s="229">
        <v>1.1100000000000001</v>
      </c>
      <c r="HM52" s="373">
        <f t="shared" si="173"/>
        <v>1</v>
      </c>
      <c r="HN52" s="145">
        <v>1</v>
      </c>
    </row>
    <row r="53" spans="1:228" hidden="1" x14ac:dyDescent="0.2">
      <c r="A53" s="373">
        <f t="shared" si="172"/>
        <v>49</v>
      </c>
      <c r="B53" s="149" t="s">
        <v>295</v>
      </c>
      <c r="C53" s="150">
        <v>0.98299999999999998</v>
      </c>
      <c r="D53" s="150">
        <v>0.99099999999999999</v>
      </c>
      <c r="E53" s="150">
        <v>0.93500000000000005</v>
      </c>
      <c r="F53" s="150">
        <v>1.0620000000000001</v>
      </c>
      <c r="G53" s="150"/>
      <c r="H53" s="226">
        <f ca="1">OFFSET($HH53,0,'Расчет стоимости'!$M$10,1,1)</f>
        <v>1</v>
      </c>
      <c r="I53" s="150">
        <v>1</v>
      </c>
      <c r="J53" s="150">
        <v>1</v>
      </c>
      <c r="K53" s="149">
        <v>1</v>
      </c>
      <c r="L53" s="149">
        <v>1</v>
      </c>
      <c r="M53" s="372">
        <v>3.2000000000000001E-2</v>
      </c>
      <c r="N53" s="145">
        <v>2.8999999999999998E-2</v>
      </c>
      <c r="O53" s="145">
        <v>1.3000000000000001E-2</v>
      </c>
      <c r="P53" s="145">
        <v>0.04</v>
      </c>
      <c r="Q53" s="145">
        <v>3.0000000000000001E-3</v>
      </c>
      <c r="R53" s="152" t="s">
        <v>236</v>
      </c>
      <c r="T53" s="225">
        <f t="shared" si="181"/>
        <v>1</v>
      </c>
      <c r="U53" s="225">
        <f t="shared" si="181"/>
        <v>1</v>
      </c>
      <c r="V53" s="225">
        <f t="shared" si="181"/>
        <v>1</v>
      </c>
      <c r="W53" s="225">
        <f t="shared" si="181"/>
        <v>1</v>
      </c>
      <c r="X53" s="145">
        <f t="shared" si="175"/>
        <v>1</v>
      </c>
      <c r="Y53" s="145">
        <v>5.82</v>
      </c>
      <c r="Z53" s="145">
        <v>5.98</v>
      </c>
      <c r="AA53" s="145">
        <v>5.98</v>
      </c>
      <c r="AB53" s="145">
        <v>6</v>
      </c>
      <c r="AC53" s="145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5">
        <f t="shared" si="176"/>
        <v>1</v>
      </c>
      <c r="BE53" s="145">
        <v>3.76</v>
      </c>
      <c r="BF53" s="145">
        <v>3.75</v>
      </c>
      <c r="BG53" s="145">
        <v>3.75</v>
      </c>
      <c r="BH53" s="145">
        <v>3.72</v>
      </c>
      <c r="BI53" s="145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5">
        <f t="shared" si="177"/>
        <v>1</v>
      </c>
      <c r="CK53" s="145">
        <v>3.77</v>
      </c>
      <c r="CL53" s="145">
        <v>3.75</v>
      </c>
      <c r="CM53" s="145">
        <v>3.75</v>
      </c>
      <c r="CN53" s="145">
        <v>3.72</v>
      </c>
      <c r="CO53" s="145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5">
        <f t="shared" si="178"/>
        <v>1</v>
      </c>
      <c r="DQ53" s="145">
        <v>4.17</v>
      </c>
      <c r="DR53" s="145">
        <v>4.25</v>
      </c>
      <c r="DS53" s="145">
        <v>4.25</v>
      </c>
      <c r="DT53" s="145">
        <v>4.2699999999999996</v>
      </c>
      <c r="DU53" s="145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5">
        <f t="shared" si="179"/>
        <v>1</v>
      </c>
      <c r="EW53" s="145">
        <v>3.95</v>
      </c>
      <c r="EX53" s="145">
        <v>3.98</v>
      </c>
      <c r="EY53" s="145">
        <v>3.98</v>
      </c>
      <c r="EZ53" s="145">
        <v>4</v>
      </c>
      <c r="FA53" s="145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5">
        <f t="shared" si="180"/>
        <v>1</v>
      </c>
      <c r="GC53" s="145">
        <v>10.28</v>
      </c>
      <c r="GD53" s="145">
        <v>10.51</v>
      </c>
      <c r="GE53" s="145">
        <v>10.51</v>
      </c>
      <c r="GF53" s="145">
        <v>10.55</v>
      </c>
      <c r="GG53" s="145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3">
        <v>1</v>
      </c>
      <c r="HI53" s="218">
        <v>1</v>
      </c>
      <c r="HJ53" s="229">
        <v>1</v>
      </c>
      <c r="HK53" s="229">
        <v>1</v>
      </c>
      <c r="HM53" s="373">
        <f t="shared" si="173"/>
        <v>1</v>
      </c>
      <c r="HN53" s="145">
        <v>1</v>
      </c>
    </row>
    <row r="54" spans="1:228" hidden="1" x14ac:dyDescent="0.2">
      <c r="A54" s="373">
        <f t="shared" si="172"/>
        <v>50</v>
      </c>
      <c r="B54" s="149" t="s">
        <v>296</v>
      </c>
      <c r="C54" s="150">
        <v>1.0549999999999999</v>
      </c>
      <c r="D54" s="150">
        <v>1.0309999999999999</v>
      </c>
      <c r="E54" s="150">
        <v>1.141</v>
      </c>
      <c r="F54" s="150">
        <v>1.0429999999999999</v>
      </c>
      <c r="G54" s="150"/>
      <c r="H54" s="226">
        <f ca="1">OFFSET($HH54,0,'Расчет стоимости'!$M$10,1,1)</f>
        <v>1.0900000000000001</v>
      </c>
      <c r="I54" s="150">
        <v>1</v>
      </c>
      <c r="J54" s="150">
        <v>1</v>
      </c>
      <c r="K54" s="149">
        <v>1</v>
      </c>
      <c r="L54" s="149">
        <v>1</v>
      </c>
      <c r="M54" s="372">
        <v>3.2000000000000001E-2</v>
      </c>
      <c r="N54" s="145">
        <v>2.8999999999999998E-2</v>
      </c>
      <c r="O54" s="145">
        <v>1.3000000000000001E-2</v>
      </c>
      <c r="P54" s="145">
        <v>0.04</v>
      </c>
      <c r="Q54" s="145">
        <v>3.0000000000000001E-3</v>
      </c>
      <c r="R54" s="152" t="s">
        <v>236</v>
      </c>
      <c r="T54" s="225">
        <f t="shared" si="181"/>
        <v>0.995</v>
      </c>
      <c r="U54" s="225">
        <f t="shared" si="181"/>
        <v>0.995</v>
      </c>
      <c r="V54" s="225">
        <f t="shared" si="181"/>
        <v>0.995</v>
      </c>
      <c r="W54" s="225">
        <f t="shared" si="181"/>
        <v>0.995</v>
      </c>
      <c r="X54" s="145">
        <f t="shared" si="175"/>
        <v>1</v>
      </c>
      <c r="Y54" s="145">
        <v>5.96</v>
      </c>
      <c r="Z54" s="145">
        <v>6.03</v>
      </c>
      <c r="AA54" s="145">
        <v>6.03</v>
      </c>
      <c r="AB54" s="145">
        <v>6.05</v>
      </c>
      <c r="AC54" s="145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5">
        <f t="shared" si="176"/>
        <v>1</v>
      </c>
      <c r="BE54" s="145">
        <v>4.08</v>
      </c>
      <c r="BF54" s="145">
        <v>4.12</v>
      </c>
      <c r="BG54" s="145">
        <v>4.12</v>
      </c>
      <c r="BH54" s="145">
        <v>4.1399999999999997</v>
      </c>
      <c r="BI54" s="145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5">
        <f t="shared" si="177"/>
        <v>1</v>
      </c>
      <c r="CK54" s="145">
        <v>3.96</v>
      </c>
      <c r="CL54" s="145">
        <v>4.0599999999999996</v>
      </c>
      <c r="CM54" s="145">
        <v>4.0599999999999996</v>
      </c>
      <c r="CN54" s="145">
        <v>4.08</v>
      </c>
      <c r="CO54" s="145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5">
        <f t="shared" si="178"/>
        <v>1</v>
      </c>
      <c r="DQ54" s="145">
        <v>4.18</v>
      </c>
      <c r="DR54" s="145">
        <v>4.28</v>
      </c>
      <c r="DS54" s="145">
        <v>4.28</v>
      </c>
      <c r="DT54" s="145">
        <v>4.3</v>
      </c>
      <c r="DU54" s="145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5">
        <f t="shared" si="179"/>
        <v>1</v>
      </c>
      <c r="EW54" s="145">
        <v>4.07</v>
      </c>
      <c r="EX54" s="145">
        <v>4.17</v>
      </c>
      <c r="EY54" s="145">
        <v>4.17</v>
      </c>
      <c r="EZ54" s="145">
        <v>4.1900000000000004</v>
      </c>
      <c r="FA54" s="145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5">
        <f t="shared" si="180"/>
        <v>1</v>
      </c>
      <c r="GC54" s="145">
        <v>8.69</v>
      </c>
      <c r="GD54" s="145">
        <v>8.92</v>
      </c>
      <c r="GE54" s="145">
        <v>8.92</v>
      </c>
      <c r="GF54" s="145">
        <v>8.9600000000000009</v>
      </c>
      <c r="GG54" s="145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3">
        <v>1</v>
      </c>
      <c r="HI54" s="218">
        <v>1.0900000000000001</v>
      </c>
      <c r="HJ54" s="229">
        <v>1.0900000000000001</v>
      </c>
      <c r="HK54" s="229">
        <v>1.0900000000000001</v>
      </c>
      <c r="HM54" s="373">
        <f t="shared" si="173"/>
        <v>7</v>
      </c>
      <c r="HN54" s="219">
        <v>0.995</v>
      </c>
      <c r="HO54" s="219">
        <v>1</v>
      </c>
      <c r="HP54" s="219">
        <v>1.024</v>
      </c>
      <c r="HQ54" s="219">
        <v>1.0309999999999999</v>
      </c>
      <c r="HR54" s="219">
        <v>1.0449999999999999</v>
      </c>
      <c r="HS54" s="219">
        <v>1.0429999999999999</v>
      </c>
      <c r="HT54" s="219">
        <v>1.0589999999999999</v>
      </c>
    </row>
    <row r="55" spans="1:228" ht="12.75" hidden="1" customHeight="1" x14ac:dyDescent="0.2">
      <c r="A55" s="373">
        <f t="shared" si="172"/>
        <v>51</v>
      </c>
      <c r="B55" s="149" t="s">
        <v>138</v>
      </c>
      <c r="C55" s="150">
        <v>1.014</v>
      </c>
      <c r="D55" s="150">
        <v>0.99199999999999999</v>
      </c>
      <c r="E55" s="150">
        <v>1.0489999999999999</v>
      </c>
      <c r="F55" s="150">
        <v>1.151</v>
      </c>
      <c r="G55" s="150"/>
      <c r="H55" s="226">
        <f ca="1">OFFSET($HH55,0,'Расчет стоимости'!$M$10,1,1)</f>
        <v>1</v>
      </c>
      <c r="I55" s="150">
        <v>1</v>
      </c>
      <c r="J55" s="150">
        <v>1</v>
      </c>
      <c r="K55" s="149">
        <v>1</v>
      </c>
      <c r="L55" s="149">
        <v>1</v>
      </c>
      <c r="M55" s="372">
        <v>3.2000000000000001E-2</v>
      </c>
      <c r="N55" s="145">
        <v>2.8999999999999998E-2</v>
      </c>
      <c r="O55" s="145">
        <v>1.3000000000000001E-2</v>
      </c>
      <c r="P55" s="145">
        <v>0.04</v>
      </c>
      <c r="Q55" s="145">
        <v>3.0000000000000001E-3</v>
      </c>
      <c r="R55" s="152" t="s">
        <v>236</v>
      </c>
      <c r="T55" s="225">
        <f t="shared" si="181"/>
        <v>1</v>
      </c>
      <c r="U55" s="225">
        <f t="shared" si="181"/>
        <v>1</v>
      </c>
      <c r="V55" s="225">
        <f t="shared" si="181"/>
        <v>1</v>
      </c>
      <c r="W55" s="225">
        <f t="shared" si="181"/>
        <v>1</v>
      </c>
      <c r="X55" s="145">
        <f t="shared" si="175"/>
        <v>1</v>
      </c>
      <c r="Y55" s="145">
        <v>5.72</v>
      </c>
      <c r="Z55" s="145">
        <v>5.87</v>
      </c>
      <c r="AA55" s="145">
        <v>5.87</v>
      </c>
      <c r="AB55" s="145">
        <v>5.89</v>
      </c>
      <c r="AC55" s="145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5">
        <f t="shared" si="176"/>
        <v>1</v>
      </c>
      <c r="BE55" s="145">
        <v>4.5199999999999996</v>
      </c>
      <c r="BF55" s="145">
        <v>4.5199999999999996</v>
      </c>
      <c r="BG55" s="145">
        <v>4.5199999999999996</v>
      </c>
      <c r="BH55" s="145">
        <v>4.54</v>
      </c>
      <c r="BI55" s="145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5">
        <f t="shared" si="177"/>
        <v>1</v>
      </c>
      <c r="CK55" s="145">
        <v>4.78</v>
      </c>
      <c r="CL55" s="145">
        <v>4.75</v>
      </c>
      <c r="CM55" s="145">
        <v>4.75</v>
      </c>
      <c r="CN55" s="145">
        <v>4.75</v>
      </c>
      <c r="CO55" s="145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5">
        <f t="shared" si="178"/>
        <v>1</v>
      </c>
      <c r="DQ55" s="145">
        <v>4.93</v>
      </c>
      <c r="DR55" s="145">
        <v>4.9800000000000004</v>
      </c>
      <c r="DS55" s="145">
        <v>4.9800000000000004</v>
      </c>
      <c r="DT55" s="145">
        <v>5</v>
      </c>
      <c r="DU55" s="145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5">
        <f t="shared" si="179"/>
        <v>1</v>
      </c>
      <c r="EW55" s="145">
        <v>4.8600000000000003</v>
      </c>
      <c r="EX55" s="145">
        <v>4.9000000000000004</v>
      </c>
      <c r="EY55" s="145">
        <v>4.9000000000000004</v>
      </c>
      <c r="EZ55" s="145">
        <v>4.92</v>
      </c>
      <c r="FA55" s="145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5">
        <f t="shared" si="180"/>
        <v>1</v>
      </c>
      <c r="GC55" s="145">
        <v>10.66</v>
      </c>
      <c r="GD55" s="145">
        <v>10.94</v>
      </c>
      <c r="GE55" s="145">
        <v>10.94</v>
      </c>
      <c r="GF55" s="145">
        <v>10.98</v>
      </c>
      <c r="GG55" s="145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3">
        <v>1</v>
      </c>
      <c r="HI55" s="218">
        <v>1</v>
      </c>
      <c r="HJ55" s="229">
        <v>1</v>
      </c>
      <c r="HK55" s="229">
        <v>1</v>
      </c>
      <c r="HM55" s="373">
        <f t="shared" si="173"/>
        <v>1</v>
      </c>
      <c r="HN55" s="145">
        <v>1</v>
      </c>
    </row>
    <row r="56" spans="1:228" ht="12.75" hidden="1" customHeight="1" x14ac:dyDescent="0.2">
      <c r="A56" s="373">
        <f t="shared" si="172"/>
        <v>52</v>
      </c>
      <c r="B56" s="149" t="s">
        <v>162</v>
      </c>
      <c r="C56" s="150">
        <v>1.117</v>
      </c>
      <c r="D56" s="150">
        <v>1.135</v>
      </c>
      <c r="E56" s="150">
        <v>1.04</v>
      </c>
      <c r="F56" s="150">
        <v>1.1679999999999999</v>
      </c>
      <c r="G56" s="150"/>
      <c r="H56" s="226">
        <f ca="1">OFFSET($HH56,0,'Расчет стоимости'!$M$10,1,1)</f>
        <v>1.0900000000000001</v>
      </c>
      <c r="I56" s="150">
        <v>1</v>
      </c>
      <c r="J56" s="150">
        <v>1</v>
      </c>
      <c r="K56" s="149">
        <v>1</v>
      </c>
      <c r="L56" s="149">
        <v>1</v>
      </c>
      <c r="M56" s="372">
        <v>3.2000000000000001E-2</v>
      </c>
      <c r="N56" s="145">
        <v>2.8999999999999998E-2</v>
      </c>
      <c r="O56" s="145">
        <v>1.3000000000000001E-2</v>
      </c>
      <c r="P56" s="145">
        <v>0.04</v>
      </c>
      <c r="Q56" s="145">
        <v>3.0000000000000001E-3</v>
      </c>
      <c r="R56" s="152" t="s">
        <v>236</v>
      </c>
      <c r="T56" s="225">
        <f t="shared" si="181"/>
        <v>1</v>
      </c>
      <c r="U56" s="225">
        <f t="shared" si="181"/>
        <v>1</v>
      </c>
      <c r="V56" s="225">
        <f t="shared" si="181"/>
        <v>1</v>
      </c>
      <c r="W56" s="225">
        <f t="shared" si="181"/>
        <v>1</v>
      </c>
      <c r="X56" s="145">
        <f t="shared" si="175"/>
        <v>1</v>
      </c>
      <c r="Y56" s="145">
        <v>5.3</v>
      </c>
      <c r="Z56" s="145">
        <v>5.43</v>
      </c>
      <c r="AA56" s="145">
        <v>5.43</v>
      </c>
      <c r="AB56" s="145">
        <v>5.45</v>
      </c>
      <c r="AC56" s="145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5">
        <f t="shared" si="176"/>
        <v>1</v>
      </c>
      <c r="BE56" s="145">
        <v>4.04</v>
      </c>
      <c r="BF56" s="145">
        <v>4.09</v>
      </c>
      <c r="BG56" s="145">
        <v>4.09</v>
      </c>
      <c r="BH56" s="145">
        <v>4.1100000000000003</v>
      </c>
      <c r="BI56" s="145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5">
        <f t="shared" si="177"/>
        <v>1</v>
      </c>
      <c r="CK56" s="145">
        <v>4.42</v>
      </c>
      <c r="CL56" s="145">
        <v>4.45</v>
      </c>
      <c r="CM56" s="145">
        <v>4.45</v>
      </c>
      <c r="CN56" s="145">
        <v>4.47</v>
      </c>
      <c r="CO56" s="145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5">
        <f t="shared" si="178"/>
        <v>1</v>
      </c>
      <c r="DQ56" s="145">
        <v>4.54</v>
      </c>
      <c r="DR56" s="145">
        <v>4.6500000000000004</v>
      </c>
      <c r="DS56" s="145">
        <v>4.6500000000000004</v>
      </c>
      <c r="DT56" s="145">
        <v>4.67</v>
      </c>
      <c r="DU56" s="145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5">
        <f t="shared" si="179"/>
        <v>1</v>
      </c>
      <c r="EW56" s="145">
        <v>4.72</v>
      </c>
      <c r="EX56" s="145">
        <v>4.82</v>
      </c>
      <c r="EY56" s="145">
        <v>4.82</v>
      </c>
      <c r="EZ56" s="145">
        <v>4.84</v>
      </c>
      <c r="FA56" s="145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5">
        <f t="shared" si="180"/>
        <v>1</v>
      </c>
      <c r="GC56" s="145">
        <v>9.9600000000000009</v>
      </c>
      <c r="GD56" s="145">
        <v>10.220000000000001</v>
      </c>
      <c r="GE56" s="145">
        <v>10.220000000000001</v>
      </c>
      <c r="GF56" s="145">
        <v>10.26</v>
      </c>
      <c r="GG56" s="145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3">
        <v>1</v>
      </c>
      <c r="HI56" s="218">
        <v>1.0900000000000001</v>
      </c>
      <c r="HJ56" s="229">
        <v>1.0900000000000001</v>
      </c>
      <c r="HK56" s="229">
        <v>1.0900000000000001</v>
      </c>
      <c r="HM56" s="373">
        <f t="shared" si="173"/>
        <v>1</v>
      </c>
      <c r="HN56" s="145">
        <v>1</v>
      </c>
    </row>
    <row r="57" spans="1:228" ht="12.75" hidden="1" customHeight="1" x14ac:dyDescent="0.2">
      <c r="A57" s="373">
        <f t="shared" si="172"/>
        <v>53</v>
      </c>
      <c r="B57" s="149" t="s">
        <v>148</v>
      </c>
      <c r="C57" s="150">
        <v>1.1399999999999999</v>
      </c>
      <c r="D57" s="150">
        <v>1.194</v>
      </c>
      <c r="E57" s="150">
        <v>0.97399999999999998</v>
      </c>
      <c r="F57" s="150">
        <v>1.077</v>
      </c>
      <c r="G57" s="150"/>
      <c r="H57" s="226">
        <f ca="1">OFFSET($HH57,0,'Расчет стоимости'!$M$10,1,1)</f>
        <v>1</v>
      </c>
      <c r="I57" s="150">
        <v>1</v>
      </c>
      <c r="J57" s="150">
        <v>1</v>
      </c>
      <c r="K57" s="149">
        <v>1</v>
      </c>
      <c r="L57" s="149">
        <v>1</v>
      </c>
      <c r="M57" s="372">
        <v>3.2000000000000001E-2</v>
      </c>
      <c r="N57" s="145">
        <v>2.8999999999999998E-2</v>
      </c>
      <c r="O57" s="145">
        <v>1.3000000000000001E-2</v>
      </c>
      <c r="P57" s="145">
        <v>0.04</v>
      </c>
      <c r="Q57" s="145">
        <v>3.0000000000000001E-3</v>
      </c>
      <c r="R57" s="152" t="s">
        <v>236</v>
      </c>
      <c r="T57" s="225">
        <f t="shared" si="181"/>
        <v>1</v>
      </c>
      <c r="U57" s="225">
        <f t="shared" si="181"/>
        <v>1</v>
      </c>
      <c r="V57" s="225">
        <f t="shared" si="181"/>
        <v>1</v>
      </c>
      <c r="W57" s="225">
        <f t="shared" si="181"/>
        <v>1</v>
      </c>
      <c r="X57" s="145">
        <f t="shared" si="175"/>
        <v>1</v>
      </c>
      <c r="Y57" s="145">
        <v>5.56</v>
      </c>
      <c r="Z57" s="145">
        <v>5.71</v>
      </c>
      <c r="AA57" s="145">
        <v>5.71</v>
      </c>
      <c r="AB57" s="145">
        <v>5.73</v>
      </c>
      <c r="AC57" s="145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5">
        <f t="shared" si="176"/>
        <v>1</v>
      </c>
      <c r="BE57" s="145">
        <v>4.34</v>
      </c>
      <c r="BF57" s="145">
        <v>4.32</v>
      </c>
      <c r="BG57" s="145">
        <v>4.32</v>
      </c>
      <c r="BH57" s="145">
        <v>4.26</v>
      </c>
      <c r="BI57" s="145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5">
        <f t="shared" si="177"/>
        <v>1</v>
      </c>
      <c r="CK57" s="145">
        <v>4.1399999999999997</v>
      </c>
      <c r="CL57" s="145">
        <v>4.25</v>
      </c>
      <c r="CM57" s="145">
        <v>4.25</v>
      </c>
      <c r="CN57" s="145">
        <v>4.2699999999999996</v>
      </c>
      <c r="CO57" s="145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5">
        <f t="shared" si="178"/>
        <v>1</v>
      </c>
      <c r="DQ57" s="145">
        <v>4.24</v>
      </c>
      <c r="DR57" s="145">
        <v>4.3499999999999996</v>
      </c>
      <c r="DS57" s="145">
        <v>4.3499999999999996</v>
      </c>
      <c r="DT57" s="145">
        <v>4.37</v>
      </c>
      <c r="DU57" s="145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5">
        <f t="shared" si="179"/>
        <v>1</v>
      </c>
      <c r="EW57" s="145">
        <v>4.03</v>
      </c>
      <c r="EX57" s="145">
        <v>4.13</v>
      </c>
      <c r="EY57" s="145">
        <v>4.12</v>
      </c>
      <c r="EZ57" s="145">
        <v>4.1500000000000004</v>
      </c>
      <c r="FA57" s="145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5">
        <f t="shared" si="180"/>
        <v>1</v>
      </c>
      <c r="GC57" s="145">
        <v>9.93</v>
      </c>
      <c r="GD57" s="145">
        <v>9.86</v>
      </c>
      <c r="GE57" s="145">
        <v>9.86</v>
      </c>
      <c r="GF57" s="145">
        <v>9.9</v>
      </c>
      <c r="GG57" s="145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3">
        <v>1</v>
      </c>
      <c r="HI57" s="218">
        <v>1</v>
      </c>
      <c r="HJ57" s="229">
        <v>1</v>
      </c>
      <c r="HK57" s="229">
        <v>1</v>
      </c>
      <c r="HM57" s="373">
        <f t="shared" si="173"/>
        <v>1</v>
      </c>
      <c r="HN57" s="145">
        <v>1</v>
      </c>
    </row>
    <row r="58" spans="1:228" ht="12.75" hidden="1" customHeight="1" x14ac:dyDescent="0.2">
      <c r="A58" s="373">
        <f t="shared" si="172"/>
        <v>54</v>
      </c>
      <c r="B58" s="149" t="s">
        <v>263</v>
      </c>
      <c r="C58" s="150">
        <v>1.179</v>
      </c>
      <c r="D58" s="150">
        <v>1.111</v>
      </c>
      <c r="E58" s="150">
        <v>1.4219999999999999</v>
      </c>
      <c r="F58" s="150">
        <v>1.1539999999999999</v>
      </c>
      <c r="G58" s="150"/>
      <c r="H58" s="226">
        <f ca="1">OFFSET($HH58,0,'Расчет стоимости'!$M$10,1,1)</f>
        <v>1.1200000000000001</v>
      </c>
      <c r="I58" s="150">
        <v>1</v>
      </c>
      <c r="J58" s="150">
        <v>1</v>
      </c>
      <c r="K58" s="149">
        <v>1</v>
      </c>
      <c r="L58" s="149">
        <v>1</v>
      </c>
      <c r="M58" s="372">
        <v>3.2000000000000001E-2</v>
      </c>
      <c r="N58" s="145">
        <v>2.8999999999999998E-2</v>
      </c>
      <c r="O58" s="145">
        <v>1.3000000000000001E-2</v>
      </c>
      <c r="P58" s="145">
        <v>0.04</v>
      </c>
      <c r="Q58" s="145">
        <v>3.0000000000000001E-3</v>
      </c>
      <c r="R58" s="152" t="s">
        <v>236</v>
      </c>
      <c r="S58" s="145" t="s">
        <v>266</v>
      </c>
      <c r="T58" s="225">
        <f t="shared" si="181"/>
        <v>1</v>
      </c>
      <c r="U58" s="225">
        <f t="shared" si="181"/>
        <v>1</v>
      </c>
      <c r="V58" s="225">
        <f t="shared" si="181"/>
        <v>1</v>
      </c>
      <c r="W58" s="225">
        <f t="shared" si="181"/>
        <v>1</v>
      </c>
      <c r="X58" s="145">
        <f t="shared" si="175"/>
        <v>1</v>
      </c>
      <c r="Y58" s="145">
        <v>5.36</v>
      </c>
      <c r="Z58" s="145">
        <v>5.4</v>
      </c>
      <c r="AA58" s="145">
        <v>5.4</v>
      </c>
      <c r="AB58" s="145">
        <v>5.42</v>
      </c>
      <c r="AC58" s="145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5">
        <f t="shared" si="176"/>
        <v>1</v>
      </c>
      <c r="BE58" s="145">
        <v>3.3</v>
      </c>
      <c r="BF58" s="145">
        <v>3.36</v>
      </c>
      <c r="BG58" s="145">
        <v>3.36</v>
      </c>
      <c r="BH58" s="145">
        <v>3.37</v>
      </c>
      <c r="BI58" s="145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5">
        <f t="shared" si="177"/>
        <v>1</v>
      </c>
      <c r="CK58" s="145">
        <v>4.67</v>
      </c>
      <c r="CL58" s="145">
        <v>4.6500000000000004</v>
      </c>
      <c r="CM58" s="145">
        <v>4.6500000000000004</v>
      </c>
      <c r="CN58" s="145">
        <v>4.67</v>
      </c>
      <c r="CO58" s="145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5">
        <f t="shared" si="178"/>
        <v>1</v>
      </c>
      <c r="DQ58" s="145">
        <v>4.26</v>
      </c>
      <c r="DR58" s="145">
        <v>4.3099999999999996</v>
      </c>
      <c r="DS58" s="145">
        <v>4.3099999999999996</v>
      </c>
      <c r="DT58" s="145">
        <v>4.33</v>
      </c>
      <c r="DU58" s="145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5">
        <f t="shared" si="179"/>
        <v>1</v>
      </c>
      <c r="EW58" s="145">
        <v>5.27</v>
      </c>
      <c r="EX58" s="145">
        <v>5.26</v>
      </c>
      <c r="EY58" s="145">
        <v>5.26</v>
      </c>
      <c r="EZ58" s="145">
        <v>5.28</v>
      </c>
      <c r="FA58" s="145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5">
        <f t="shared" si="180"/>
        <v>1</v>
      </c>
      <c r="GC58" s="145">
        <v>10.96</v>
      </c>
      <c r="GD58" s="145">
        <v>11.11</v>
      </c>
      <c r="GE58" s="145">
        <v>11.11</v>
      </c>
      <c r="GF58" s="145">
        <v>11.15</v>
      </c>
      <c r="GG58" s="145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3">
        <v>2</v>
      </c>
      <c r="HI58" s="218">
        <v>1.1200000000000001</v>
      </c>
      <c r="HJ58" s="41">
        <v>1.1299999999999999</v>
      </c>
      <c r="HK58" s="41">
        <v>1.1299999999999999</v>
      </c>
      <c r="HM58" s="373">
        <f t="shared" si="173"/>
        <v>1</v>
      </c>
      <c r="HN58" s="145">
        <v>1</v>
      </c>
    </row>
    <row r="59" spans="1:228" ht="12.75" hidden="1" customHeight="1" x14ac:dyDescent="0.2">
      <c r="A59" s="373">
        <f t="shared" si="172"/>
        <v>55</v>
      </c>
      <c r="B59" s="149" t="s">
        <v>149</v>
      </c>
      <c r="C59" s="150">
        <v>1</v>
      </c>
      <c r="D59" s="150">
        <v>0.89600000000000002</v>
      </c>
      <c r="E59" s="150">
        <v>1.3</v>
      </c>
      <c r="F59" s="150">
        <v>1.2689999999999999</v>
      </c>
      <c r="G59" s="150"/>
      <c r="H59" s="226">
        <f ca="1">OFFSET($HH59,0,'Расчет стоимости'!$M$10,1,1)</f>
        <v>1</v>
      </c>
      <c r="I59" s="150">
        <v>1</v>
      </c>
      <c r="J59" s="150">
        <v>1</v>
      </c>
      <c r="K59" s="149">
        <v>1</v>
      </c>
      <c r="L59" s="149">
        <v>1</v>
      </c>
      <c r="M59" s="372">
        <v>3.2000000000000001E-2</v>
      </c>
      <c r="N59" s="145">
        <v>2.8999999999999998E-2</v>
      </c>
      <c r="O59" s="145">
        <v>1.3000000000000001E-2</v>
      </c>
      <c r="P59" s="145">
        <v>0.04</v>
      </c>
      <c r="Q59" s="145">
        <v>3.0000000000000001E-3</v>
      </c>
      <c r="R59" s="152" t="s">
        <v>236</v>
      </c>
      <c r="T59" s="225">
        <f t="shared" si="181"/>
        <v>1</v>
      </c>
      <c r="U59" s="225">
        <f t="shared" si="181"/>
        <v>1</v>
      </c>
      <c r="V59" s="225">
        <f t="shared" si="181"/>
        <v>1</v>
      </c>
      <c r="W59" s="225">
        <f t="shared" si="181"/>
        <v>1</v>
      </c>
      <c r="X59" s="145">
        <f t="shared" si="175"/>
        <v>1</v>
      </c>
      <c r="Y59" s="145">
        <v>5.85</v>
      </c>
      <c r="Z59" s="145">
        <v>6.01</v>
      </c>
      <c r="AA59" s="145">
        <v>6.01</v>
      </c>
      <c r="AB59" s="145">
        <v>6.03</v>
      </c>
      <c r="AC59" s="145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5">
        <f t="shared" si="176"/>
        <v>1</v>
      </c>
      <c r="BE59" s="145">
        <v>3.86</v>
      </c>
      <c r="BF59" s="145">
        <v>3.91</v>
      </c>
      <c r="BG59" s="145">
        <v>3.91</v>
      </c>
      <c r="BH59" s="145">
        <v>3.93</v>
      </c>
      <c r="BI59" s="145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5">
        <f t="shared" si="177"/>
        <v>1</v>
      </c>
      <c r="CK59" s="145">
        <v>3.83</v>
      </c>
      <c r="CL59" s="145">
        <v>3.89</v>
      </c>
      <c r="CM59" s="145">
        <v>3.89</v>
      </c>
      <c r="CN59" s="145">
        <v>3.91</v>
      </c>
      <c r="CO59" s="145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5">
        <f t="shared" si="178"/>
        <v>1</v>
      </c>
      <c r="DQ59" s="145">
        <v>4.6500000000000004</v>
      </c>
      <c r="DR59" s="145">
        <v>4.7300000000000004</v>
      </c>
      <c r="DS59" s="145">
        <v>4.7300000000000004</v>
      </c>
      <c r="DT59" s="145">
        <v>4.75</v>
      </c>
      <c r="DU59" s="145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5">
        <f t="shared" si="179"/>
        <v>1</v>
      </c>
      <c r="EW59" s="145">
        <v>4.34</v>
      </c>
      <c r="EX59" s="145">
        <v>4.37</v>
      </c>
      <c r="EY59" s="145">
        <v>4.37</v>
      </c>
      <c r="EZ59" s="145">
        <v>4.3899999999999997</v>
      </c>
      <c r="FA59" s="145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5">
        <f t="shared" si="180"/>
        <v>1</v>
      </c>
      <c r="GC59" s="145">
        <v>11.44</v>
      </c>
      <c r="GD59" s="145">
        <v>11.67</v>
      </c>
      <c r="GE59" s="145">
        <v>11.67</v>
      </c>
      <c r="GF59" s="145">
        <v>11.72</v>
      </c>
      <c r="GG59" s="145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3">
        <v>1</v>
      </c>
      <c r="HI59" s="218">
        <v>1</v>
      </c>
      <c r="HJ59" s="229">
        <v>1</v>
      </c>
      <c r="HK59" s="229">
        <v>1</v>
      </c>
      <c r="HM59" s="373">
        <f t="shared" si="173"/>
        <v>1</v>
      </c>
      <c r="HN59" s="145">
        <v>1</v>
      </c>
    </row>
    <row r="60" spans="1:228" ht="12.75" hidden="1" customHeight="1" x14ac:dyDescent="0.2">
      <c r="A60" s="373">
        <f t="shared" si="172"/>
        <v>56</v>
      </c>
      <c r="B60" s="149" t="s">
        <v>150</v>
      </c>
      <c r="C60" s="150">
        <v>0.996</v>
      </c>
      <c r="D60" s="150">
        <v>0.97699999999999998</v>
      </c>
      <c r="E60" s="150">
        <v>1.0009999999999999</v>
      </c>
      <c r="F60" s="150">
        <v>1.2090000000000001</v>
      </c>
      <c r="G60" s="150"/>
      <c r="H60" s="226">
        <f ca="1">OFFSET($HH60,0,'Расчет стоимости'!$M$10,1,1)</f>
        <v>1</v>
      </c>
      <c r="I60" s="150">
        <v>1</v>
      </c>
      <c r="J60" s="150">
        <v>1</v>
      </c>
      <c r="K60" s="149">
        <v>1</v>
      </c>
      <c r="L60" s="149">
        <v>1</v>
      </c>
      <c r="M60" s="372">
        <v>2.1000000000000001E-2</v>
      </c>
      <c r="N60" s="145">
        <v>1.9E-2</v>
      </c>
      <c r="O60" s="145">
        <v>0.01</v>
      </c>
      <c r="P60" s="145">
        <v>3.2000000000000001E-2</v>
      </c>
      <c r="Q60" s="145">
        <v>0</v>
      </c>
      <c r="R60" s="152" t="s">
        <v>234</v>
      </c>
      <c r="T60" s="225">
        <f t="shared" si="181"/>
        <v>1</v>
      </c>
      <c r="U60" s="225">
        <f t="shared" si="181"/>
        <v>1</v>
      </c>
      <c r="V60" s="225">
        <f t="shared" si="181"/>
        <v>1</v>
      </c>
      <c r="W60" s="225">
        <f t="shared" si="181"/>
        <v>1</v>
      </c>
      <c r="X60" s="145">
        <f t="shared" si="175"/>
        <v>1</v>
      </c>
      <c r="Y60" s="145">
        <v>5.83</v>
      </c>
      <c r="Z60" s="145">
        <v>5.99</v>
      </c>
      <c r="AA60" s="145">
        <v>5.99</v>
      </c>
      <c r="AB60" s="145">
        <v>6.01</v>
      </c>
      <c r="AC60" s="145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5">
        <f t="shared" si="176"/>
        <v>1</v>
      </c>
      <c r="BE60" s="145">
        <v>3.87</v>
      </c>
      <c r="BF60" s="145">
        <v>3.74</v>
      </c>
      <c r="BG60" s="145">
        <v>3.74</v>
      </c>
      <c r="BH60" s="145">
        <v>3.75</v>
      </c>
      <c r="BI60" s="145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5">
        <f t="shared" si="177"/>
        <v>1</v>
      </c>
      <c r="CK60" s="145">
        <v>3.96</v>
      </c>
      <c r="CL60" s="145">
        <v>3.86</v>
      </c>
      <c r="CM60" s="145">
        <v>3.86</v>
      </c>
      <c r="CN60" s="145">
        <v>3.88</v>
      </c>
      <c r="CO60" s="145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5">
        <f t="shared" si="178"/>
        <v>1</v>
      </c>
      <c r="DQ60" s="145">
        <v>4.3899999999999997</v>
      </c>
      <c r="DR60" s="145">
        <v>4.37</v>
      </c>
      <c r="DS60" s="145">
        <v>4.37</v>
      </c>
      <c r="DT60" s="145">
        <v>4.3899999999999997</v>
      </c>
      <c r="DU60" s="145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5">
        <f t="shared" si="179"/>
        <v>1</v>
      </c>
      <c r="EW60" s="145">
        <v>4.28</v>
      </c>
      <c r="EX60" s="145">
        <v>4.2699999999999996</v>
      </c>
      <c r="EY60" s="145">
        <v>4.2699999999999996</v>
      </c>
      <c r="EZ60" s="145">
        <v>4.29</v>
      </c>
      <c r="FA60" s="145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5">
        <f t="shared" si="180"/>
        <v>1</v>
      </c>
      <c r="GC60" s="145">
        <v>10.06</v>
      </c>
      <c r="GD60" s="145">
        <v>10.32</v>
      </c>
      <c r="GE60" s="145">
        <v>10.32</v>
      </c>
      <c r="GF60" s="145">
        <v>10.36</v>
      </c>
      <c r="GG60" s="145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3">
        <v>1</v>
      </c>
      <c r="HI60" s="218">
        <v>1</v>
      </c>
      <c r="HJ60" s="229">
        <v>1</v>
      </c>
      <c r="HK60" s="229">
        <v>1</v>
      </c>
      <c r="HM60" s="373">
        <f t="shared" si="173"/>
        <v>1</v>
      </c>
      <c r="HN60" s="145">
        <v>1</v>
      </c>
    </row>
    <row r="61" spans="1:228" ht="12.75" hidden="1" customHeight="1" x14ac:dyDescent="0.2">
      <c r="A61" s="373">
        <f t="shared" si="172"/>
        <v>57</v>
      </c>
      <c r="B61" s="149" t="s">
        <v>151</v>
      </c>
      <c r="C61" s="150">
        <v>0.97899999999999998</v>
      </c>
      <c r="D61" s="150">
        <v>0.95399999999999996</v>
      </c>
      <c r="E61" s="150">
        <v>0.999</v>
      </c>
      <c r="F61" s="150">
        <v>1.218</v>
      </c>
      <c r="G61" s="150"/>
      <c r="H61" s="226">
        <f ca="1">OFFSET($HH61,0,'Расчет стоимости'!$M$10,1,1)</f>
        <v>1</v>
      </c>
      <c r="I61" s="150">
        <v>1</v>
      </c>
      <c r="J61" s="150">
        <v>1</v>
      </c>
      <c r="K61" s="149">
        <v>1</v>
      </c>
      <c r="L61" s="149">
        <v>1</v>
      </c>
      <c r="M61" s="372">
        <v>3.2000000000000001E-2</v>
      </c>
      <c r="N61" s="145">
        <v>2.8999999999999998E-2</v>
      </c>
      <c r="O61" s="145">
        <v>1.3000000000000001E-2</v>
      </c>
      <c r="P61" s="145">
        <v>0.04</v>
      </c>
      <c r="Q61" s="145">
        <v>3.0000000000000001E-3</v>
      </c>
      <c r="R61" s="152" t="s">
        <v>236</v>
      </c>
      <c r="T61" s="225">
        <f t="shared" si="181"/>
        <v>1</v>
      </c>
      <c r="U61" s="225">
        <f t="shared" si="181"/>
        <v>1</v>
      </c>
      <c r="V61" s="225">
        <f t="shared" si="181"/>
        <v>1</v>
      </c>
      <c r="W61" s="225">
        <f t="shared" si="181"/>
        <v>1</v>
      </c>
      <c r="X61" s="145">
        <f t="shared" si="175"/>
        <v>1</v>
      </c>
      <c r="Y61" s="145">
        <v>5.63</v>
      </c>
      <c r="Z61" s="145">
        <v>5.78</v>
      </c>
      <c r="AA61" s="145">
        <v>5.78</v>
      </c>
      <c r="AB61" s="145">
        <v>5.8</v>
      </c>
      <c r="AC61" s="145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5">
        <f t="shared" si="176"/>
        <v>1</v>
      </c>
      <c r="BE61" s="145">
        <v>3.56</v>
      </c>
      <c r="BF61" s="145">
        <v>3.63</v>
      </c>
      <c r="BG61" s="145">
        <v>3.63</v>
      </c>
      <c r="BH61" s="145">
        <v>3.64</v>
      </c>
      <c r="BI61" s="145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5">
        <f t="shared" si="177"/>
        <v>1</v>
      </c>
      <c r="CK61" s="145">
        <v>3.71</v>
      </c>
      <c r="CL61" s="145">
        <v>3.75</v>
      </c>
      <c r="CM61" s="145">
        <v>3.75</v>
      </c>
      <c r="CN61" s="145">
        <v>3.77</v>
      </c>
      <c r="CO61" s="145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5">
        <f t="shared" si="178"/>
        <v>1</v>
      </c>
      <c r="DQ61" s="145">
        <v>4.1500000000000004</v>
      </c>
      <c r="DR61" s="145">
        <v>4.21</v>
      </c>
      <c r="DS61" s="145">
        <v>4.21</v>
      </c>
      <c r="DT61" s="145">
        <v>4.2300000000000004</v>
      </c>
      <c r="DU61" s="145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5">
        <f t="shared" si="179"/>
        <v>1</v>
      </c>
      <c r="EW61" s="145">
        <v>4.1100000000000003</v>
      </c>
      <c r="EX61" s="145">
        <v>4.1100000000000003</v>
      </c>
      <c r="EY61" s="145">
        <v>4.1100000000000003</v>
      </c>
      <c r="EZ61" s="145">
        <v>4.13</v>
      </c>
      <c r="FA61" s="145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5">
        <f t="shared" si="180"/>
        <v>1</v>
      </c>
      <c r="GC61" s="145">
        <v>9.67</v>
      </c>
      <c r="GD61" s="145">
        <v>9.93</v>
      </c>
      <c r="GE61" s="145">
        <v>9.93</v>
      </c>
      <c r="GF61" s="145">
        <v>9.9700000000000006</v>
      </c>
      <c r="GG61" s="145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3">
        <v>1</v>
      </c>
      <c r="HI61" s="218">
        <v>1</v>
      </c>
      <c r="HJ61" s="229">
        <v>1</v>
      </c>
      <c r="HK61" s="229">
        <v>1</v>
      </c>
      <c r="HM61" s="373">
        <f t="shared" si="173"/>
        <v>1</v>
      </c>
      <c r="HN61" s="145">
        <v>1</v>
      </c>
    </row>
    <row r="62" spans="1:228" ht="12.75" hidden="1" customHeight="1" x14ac:dyDescent="0.2">
      <c r="A62" s="373">
        <f t="shared" si="172"/>
        <v>58</v>
      </c>
      <c r="B62" s="149" t="s">
        <v>161</v>
      </c>
      <c r="C62" s="150">
        <v>1.1339999999999999</v>
      </c>
      <c r="D62" s="150">
        <v>1.1539999999999999</v>
      </c>
      <c r="E62" s="150">
        <v>1</v>
      </c>
      <c r="F62" s="150">
        <v>1.3779999999999999</v>
      </c>
      <c r="G62" s="150"/>
      <c r="H62" s="226">
        <f ca="1">OFFSET($HH62,0,'Расчет стоимости'!$M$10,1,1)</f>
        <v>1.0900000000000001</v>
      </c>
      <c r="I62" s="150">
        <v>1</v>
      </c>
      <c r="J62" s="150">
        <v>1</v>
      </c>
      <c r="K62" s="149">
        <v>1</v>
      </c>
      <c r="L62" s="149">
        <v>1</v>
      </c>
      <c r="M62" s="372">
        <v>3.2000000000000001E-2</v>
      </c>
      <c r="N62" s="145">
        <v>2.8999999999999998E-2</v>
      </c>
      <c r="O62" s="145">
        <v>1.3000000000000001E-2</v>
      </c>
      <c r="P62" s="145">
        <v>0.04</v>
      </c>
      <c r="Q62" s="145">
        <v>3.0000000000000001E-3</v>
      </c>
      <c r="R62" s="152" t="s">
        <v>236</v>
      </c>
      <c r="T62" s="225">
        <f t="shared" si="181"/>
        <v>1</v>
      </c>
      <c r="U62" s="225">
        <f t="shared" si="181"/>
        <v>1</v>
      </c>
      <c r="V62" s="225">
        <f t="shared" si="181"/>
        <v>1</v>
      </c>
      <c r="W62" s="225">
        <f t="shared" si="181"/>
        <v>1</v>
      </c>
      <c r="X62" s="145">
        <f t="shared" si="175"/>
        <v>1</v>
      </c>
      <c r="Y62" s="145">
        <v>5.73</v>
      </c>
      <c r="Z62" s="145">
        <v>5.86</v>
      </c>
      <c r="AA62" s="145">
        <v>5.86</v>
      </c>
      <c r="AB62" s="145">
        <v>5.88</v>
      </c>
      <c r="AC62" s="145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5">
        <f t="shared" si="176"/>
        <v>1</v>
      </c>
      <c r="BE62" s="145">
        <v>3.9</v>
      </c>
      <c r="BF62" s="145">
        <v>3.95</v>
      </c>
      <c r="BG62" s="145">
        <v>3.95</v>
      </c>
      <c r="BH62" s="145">
        <v>3.97</v>
      </c>
      <c r="BI62" s="145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5">
        <f t="shared" si="177"/>
        <v>1</v>
      </c>
      <c r="CK62" s="145">
        <v>4.9400000000000004</v>
      </c>
      <c r="CL62" s="145">
        <v>4.99</v>
      </c>
      <c r="CM62" s="145">
        <v>4.99</v>
      </c>
      <c r="CN62" s="145">
        <v>5.01</v>
      </c>
      <c r="CO62" s="145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5">
        <f t="shared" si="178"/>
        <v>1</v>
      </c>
      <c r="DQ62" s="145">
        <v>4.5999999999999996</v>
      </c>
      <c r="DR62" s="145">
        <v>4.7</v>
      </c>
      <c r="DS62" s="145">
        <v>4.7</v>
      </c>
      <c r="DT62" s="145">
        <v>4.72</v>
      </c>
      <c r="DU62" s="145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5">
        <f t="shared" si="179"/>
        <v>1</v>
      </c>
      <c r="EW62" s="145">
        <v>5.45</v>
      </c>
      <c r="EX62" s="145">
        <v>5.59</v>
      </c>
      <c r="EY62" s="145">
        <v>5.59</v>
      </c>
      <c r="EZ62" s="145">
        <v>5.61</v>
      </c>
      <c r="FA62" s="145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5">
        <f t="shared" si="180"/>
        <v>1</v>
      </c>
      <c r="GC62" s="145">
        <v>10.78</v>
      </c>
      <c r="GD62" s="145">
        <v>11.07</v>
      </c>
      <c r="GE62" s="145">
        <v>11.07</v>
      </c>
      <c r="GF62" s="145">
        <v>11.11</v>
      </c>
      <c r="GG62" s="145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3">
        <v>1</v>
      </c>
      <c r="HI62" s="218">
        <v>1.0900000000000001</v>
      </c>
      <c r="HJ62" s="229">
        <v>1.0900000000000001</v>
      </c>
      <c r="HK62" s="229">
        <v>1.0900000000000001</v>
      </c>
      <c r="HM62" s="373">
        <f t="shared" si="173"/>
        <v>1</v>
      </c>
      <c r="HN62" s="145">
        <v>1</v>
      </c>
    </row>
    <row r="63" spans="1:228" ht="12.75" hidden="1" customHeight="1" x14ac:dyDescent="0.2">
      <c r="A63" s="373">
        <f t="shared" si="172"/>
        <v>59</v>
      </c>
      <c r="B63" s="149" t="s">
        <v>163</v>
      </c>
      <c r="C63" s="150">
        <v>1.139</v>
      </c>
      <c r="D63" s="150">
        <v>1.052</v>
      </c>
      <c r="E63" s="150">
        <v>1.41</v>
      </c>
      <c r="F63" s="150">
        <v>1.242</v>
      </c>
      <c r="G63" s="150"/>
      <c r="H63" s="226">
        <f ca="1">OFFSET($HH63,0,'Расчет стоимости'!$M$10,1,1)</f>
        <v>1.1299999999999999</v>
      </c>
      <c r="I63" s="150">
        <v>1</v>
      </c>
      <c r="J63" s="150">
        <v>1</v>
      </c>
      <c r="K63" s="149">
        <v>1</v>
      </c>
      <c r="L63" s="149">
        <v>1</v>
      </c>
      <c r="M63" s="372">
        <v>3.2000000000000001E-2</v>
      </c>
      <c r="N63" s="145">
        <v>2.8999999999999998E-2</v>
      </c>
      <c r="O63" s="145">
        <v>1.3000000000000001E-2</v>
      </c>
      <c r="P63" s="145">
        <v>0.04</v>
      </c>
      <c r="Q63" s="145">
        <v>3.0000000000000001E-3</v>
      </c>
      <c r="R63" s="152" t="s">
        <v>236</v>
      </c>
      <c r="T63" s="225">
        <f t="shared" si="181"/>
        <v>1</v>
      </c>
      <c r="U63" s="225">
        <f t="shared" si="181"/>
        <v>1</v>
      </c>
      <c r="V63" s="225">
        <f t="shared" si="181"/>
        <v>1</v>
      </c>
      <c r="W63" s="225">
        <f t="shared" si="181"/>
        <v>1</v>
      </c>
      <c r="X63" s="145">
        <f t="shared" si="175"/>
        <v>1</v>
      </c>
      <c r="Y63" s="145">
        <v>6.33</v>
      </c>
      <c r="Z63" s="145">
        <v>6.38</v>
      </c>
      <c r="AA63" s="145">
        <v>6.38</v>
      </c>
      <c r="AB63" s="145">
        <v>6.41</v>
      </c>
      <c r="AC63" s="145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5">
        <f t="shared" si="176"/>
        <v>1</v>
      </c>
      <c r="BE63" s="145">
        <v>3.69</v>
      </c>
      <c r="BF63" s="145">
        <v>3.75</v>
      </c>
      <c r="BG63" s="145">
        <v>3.75</v>
      </c>
      <c r="BH63" s="145">
        <v>3.77</v>
      </c>
      <c r="BI63" s="145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5">
        <f t="shared" si="177"/>
        <v>1</v>
      </c>
      <c r="CK63" s="145">
        <v>3.36</v>
      </c>
      <c r="CL63" s="145">
        <v>3.44</v>
      </c>
      <c r="CM63" s="145">
        <v>3.44</v>
      </c>
      <c r="CN63" s="145">
        <v>3.45</v>
      </c>
      <c r="CO63" s="145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5">
        <f t="shared" si="178"/>
        <v>1</v>
      </c>
      <c r="DQ63" s="145">
        <v>5.51</v>
      </c>
      <c r="DR63" s="145">
        <v>5.66</v>
      </c>
      <c r="DS63" s="145">
        <v>5.66</v>
      </c>
      <c r="DT63" s="145">
        <v>5.68</v>
      </c>
      <c r="DU63" s="145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5">
        <f t="shared" si="179"/>
        <v>1</v>
      </c>
      <c r="EW63" s="145">
        <v>3.98</v>
      </c>
      <c r="EX63" s="145">
        <v>4.08</v>
      </c>
      <c r="EY63" s="145">
        <v>4.08</v>
      </c>
      <c r="EZ63" s="145">
        <v>4.0999999999999996</v>
      </c>
      <c r="FA63" s="145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5">
        <f t="shared" si="180"/>
        <v>1</v>
      </c>
      <c r="GC63" s="145">
        <v>13.43</v>
      </c>
      <c r="GD63" s="145">
        <v>13.78</v>
      </c>
      <c r="GE63" s="145">
        <v>13.78</v>
      </c>
      <c r="GF63" s="145">
        <v>13.84</v>
      </c>
      <c r="GG63" s="145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3">
        <v>1</v>
      </c>
      <c r="HI63" s="218">
        <v>1.1299999999999999</v>
      </c>
      <c r="HJ63" s="229">
        <v>1.1299999999999999</v>
      </c>
      <c r="HK63" s="229">
        <v>1.1299999999999999</v>
      </c>
      <c r="HM63" s="373">
        <f t="shared" si="173"/>
        <v>1</v>
      </c>
      <c r="HN63" s="145">
        <v>1</v>
      </c>
    </row>
    <row r="64" spans="1:228" ht="12.75" hidden="1" customHeight="1" x14ac:dyDescent="0.2">
      <c r="A64" s="373">
        <f t="shared" si="172"/>
        <v>60</v>
      </c>
      <c r="B64" s="149" t="s">
        <v>1320</v>
      </c>
      <c r="C64" s="150">
        <v>1.06</v>
      </c>
      <c r="D64" s="150">
        <v>1.0509999999999999</v>
      </c>
      <c r="E64" s="150">
        <v>1.0940000000000001</v>
      </c>
      <c r="F64" s="150">
        <v>1.0529999999999999</v>
      </c>
      <c r="G64" s="150"/>
      <c r="H64" s="226">
        <f ca="1">OFFSET($HH64,0,'Расчет стоимости'!$M$10,1,1)</f>
        <v>1.0900000000000001</v>
      </c>
      <c r="I64" s="150">
        <v>1</v>
      </c>
      <c r="J64" s="150">
        <v>1</v>
      </c>
      <c r="K64" s="149">
        <v>1</v>
      </c>
      <c r="L64" s="149">
        <v>1</v>
      </c>
      <c r="M64" s="372">
        <v>4.2999999999999997E-2</v>
      </c>
      <c r="N64" s="145">
        <v>3.7000000000000005E-2</v>
      </c>
      <c r="O64" s="145">
        <v>1.7000000000000001E-2</v>
      </c>
      <c r="P64" s="145">
        <v>5.5E-2</v>
      </c>
      <c r="Q64" s="145">
        <v>4.0000000000000001E-3</v>
      </c>
      <c r="R64" s="152" t="s">
        <v>242</v>
      </c>
      <c r="T64" s="225">
        <f t="shared" si="181"/>
        <v>1</v>
      </c>
      <c r="U64" s="225">
        <f t="shared" si="181"/>
        <v>1</v>
      </c>
      <c r="V64" s="225">
        <f t="shared" si="181"/>
        <v>1</v>
      </c>
      <c r="W64" s="225">
        <f t="shared" si="181"/>
        <v>1</v>
      </c>
      <c r="X64" s="145">
        <f t="shared" si="175"/>
        <v>1</v>
      </c>
      <c r="Y64" s="145">
        <v>6.52</v>
      </c>
      <c r="Z64" s="145">
        <v>6.7</v>
      </c>
      <c r="AA64" s="145">
        <v>6.7</v>
      </c>
      <c r="AB64" s="145">
        <v>6.73</v>
      </c>
      <c r="AC64" s="145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5">
        <f t="shared" si="176"/>
        <v>1</v>
      </c>
      <c r="BE64" s="145">
        <v>3.67</v>
      </c>
      <c r="BF64" s="145">
        <v>3.69</v>
      </c>
      <c r="BG64" s="145">
        <v>3.69</v>
      </c>
      <c r="BH64" s="145">
        <v>3.7</v>
      </c>
      <c r="BI64" s="145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5">
        <f t="shared" si="177"/>
        <v>1</v>
      </c>
      <c r="CK64" s="145">
        <v>3.94</v>
      </c>
      <c r="CL64" s="145">
        <v>3.94</v>
      </c>
      <c r="CM64" s="145">
        <v>3.94</v>
      </c>
      <c r="CN64" s="145">
        <v>3.96</v>
      </c>
      <c r="CO64" s="145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5">
        <f t="shared" si="178"/>
        <v>1</v>
      </c>
      <c r="DQ64" s="145">
        <v>4.4000000000000004</v>
      </c>
      <c r="DR64" s="145">
        <v>4.51</v>
      </c>
      <c r="DS64" s="145">
        <v>4.51</v>
      </c>
      <c r="DT64" s="145">
        <v>4.53</v>
      </c>
      <c r="DU64" s="145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5">
        <f t="shared" si="179"/>
        <v>1</v>
      </c>
      <c r="EW64" s="145">
        <v>2.98</v>
      </c>
      <c r="EX64" s="145">
        <v>3.06</v>
      </c>
      <c r="EY64" s="145">
        <v>3.06</v>
      </c>
      <c r="EZ64" s="145">
        <v>3.07</v>
      </c>
      <c r="FA64" s="145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5">
        <f t="shared" si="180"/>
        <v>1</v>
      </c>
      <c r="GC64" s="145">
        <v>14.12</v>
      </c>
      <c r="GD64" s="145">
        <v>14.49</v>
      </c>
      <c r="GE64" s="145">
        <v>14.49</v>
      </c>
      <c r="GF64" s="145">
        <v>14.55</v>
      </c>
      <c r="GG64" s="145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3">
        <v>2</v>
      </c>
      <c r="HI64" s="218">
        <v>1.0900000000000001</v>
      </c>
      <c r="HJ64" s="41">
        <v>1.1200000000000001</v>
      </c>
      <c r="HK64" s="41">
        <v>1.1200000000000001</v>
      </c>
      <c r="HM64" s="373">
        <f t="shared" si="173"/>
        <v>6</v>
      </c>
      <c r="HN64" s="145">
        <v>1</v>
      </c>
      <c r="HO64" s="219">
        <v>1.008</v>
      </c>
      <c r="HP64" s="219">
        <v>1.0029999999999999</v>
      </c>
      <c r="HQ64" s="219">
        <v>1.0049999999999999</v>
      </c>
      <c r="HR64" s="219">
        <v>1.006</v>
      </c>
      <c r="HS64" s="219">
        <v>1.091</v>
      </c>
    </row>
    <row r="65" spans="1:240" ht="12.75" hidden="1" customHeight="1" x14ac:dyDescent="0.2">
      <c r="A65" s="373">
        <f t="shared" si="172"/>
        <v>61</v>
      </c>
      <c r="B65" s="149" t="s">
        <v>164</v>
      </c>
      <c r="C65" s="150">
        <v>1.069</v>
      </c>
      <c r="D65" s="150">
        <v>1.0069999999999999</v>
      </c>
      <c r="E65" s="150">
        <v>1.2649999999999999</v>
      </c>
      <c r="F65" s="150">
        <v>1.129</v>
      </c>
      <c r="G65" s="150"/>
      <c r="H65" s="226">
        <f ca="1">OFFSET($HH65,0,'Расчет стоимости'!$M$10,1,1)</f>
        <v>1.1200000000000001</v>
      </c>
      <c r="I65" s="150">
        <v>1</v>
      </c>
      <c r="J65" s="150">
        <v>1</v>
      </c>
      <c r="K65" s="149">
        <v>1</v>
      </c>
      <c r="L65" s="149">
        <v>1</v>
      </c>
      <c r="M65" s="372">
        <v>3.2000000000000001E-2</v>
      </c>
      <c r="N65" s="145">
        <v>2.8999999999999998E-2</v>
      </c>
      <c r="O65" s="145">
        <v>1.3000000000000001E-2</v>
      </c>
      <c r="P65" s="145">
        <v>0.04</v>
      </c>
      <c r="Q65" s="145">
        <v>3.0000000000000001E-3</v>
      </c>
      <c r="R65" s="152" t="s">
        <v>236</v>
      </c>
      <c r="T65" s="225">
        <f t="shared" si="181"/>
        <v>1</v>
      </c>
      <c r="U65" s="225">
        <f t="shared" si="181"/>
        <v>1</v>
      </c>
      <c r="V65" s="225">
        <f t="shared" si="181"/>
        <v>1</v>
      </c>
      <c r="W65" s="225">
        <f t="shared" si="181"/>
        <v>1</v>
      </c>
      <c r="X65" s="145">
        <f t="shared" si="175"/>
        <v>1</v>
      </c>
      <c r="Y65" s="145">
        <v>5.45</v>
      </c>
      <c r="Z65" s="145">
        <v>5.59</v>
      </c>
      <c r="AA65" s="145">
        <v>5.59</v>
      </c>
      <c r="AB65" s="145">
        <v>5.61</v>
      </c>
      <c r="AC65" s="145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5">
        <f t="shared" si="176"/>
        <v>1</v>
      </c>
      <c r="BE65" s="145">
        <v>3.67</v>
      </c>
      <c r="BF65" s="145">
        <v>3.71</v>
      </c>
      <c r="BG65" s="145">
        <v>3.71</v>
      </c>
      <c r="BH65" s="145">
        <v>3.72</v>
      </c>
      <c r="BI65" s="145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5">
        <f t="shared" si="177"/>
        <v>1</v>
      </c>
      <c r="CK65" s="145">
        <v>4.5</v>
      </c>
      <c r="CL65" s="145">
        <v>4.62</v>
      </c>
      <c r="CM65" s="145">
        <v>4.62</v>
      </c>
      <c r="CN65" s="145">
        <v>4.6399999999999997</v>
      </c>
      <c r="CO65" s="145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5">
        <f t="shared" si="178"/>
        <v>1</v>
      </c>
      <c r="DQ65" s="145">
        <v>4.4000000000000004</v>
      </c>
      <c r="DR65" s="145">
        <v>4.51</v>
      </c>
      <c r="DS65" s="145">
        <v>4.51</v>
      </c>
      <c r="DT65" s="145">
        <v>4.53</v>
      </c>
      <c r="DU65" s="145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5">
        <f t="shared" si="179"/>
        <v>1</v>
      </c>
      <c r="EW65" s="145">
        <v>5.0999999999999996</v>
      </c>
      <c r="EX65" s="145">
        <v>5.23</v>
      </c>
      <c r="EY65" s="145">
        <v>5.23</v>
      </c>
      <c r="EZ65" s="145">
        <v>5.24</v>
      </c>
      <c r="FA65" s="145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5">
        <f t="shared" si="180"/>
        <v>1</v>
      </c>
      <c r="GC65" s="145">
        <v>11.81</v>
      </c>
      <c r="GD65" s="145">
        <v>12.12</v>
      </c>
      <c r="GE65" s="145">
        <v>12.12</v>
      </c>
      <c r="GF65" s="145">
        <v>12.17</v>
      </c>
      <c r="GG65" s="145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3">
        <v>1</v>
      </c>
      <c r="HI65" s="218">
        <v>1.1200000000000001</v>
      </c>
      <c r="HJ65" s="229">
        <v>1.1200000000000001</v>
      </c>
      <c r="HK65" s="229">
        <v>1.1200000000000001</v>
      </c>
      <c r="HM65" s="373">
        <f t="shared" si="173"/>
        <v>1</v>
      </c>
      <c r="HN65" s="145">
        <v>1</v>
      </c>
    </row>
    <row r="66" spans="1:240" ht="12.75" hidden="1" customHeight="1" x14ac:dyDescent="0.2">
      <c r="A66" s="373">
        <f t="shared" si="172"/>
        <v>62</v>
      </c>
      <c r="B66" s="149" t="s">
        <v>166</v>
      </c>
      <c r="C66" s="150">
        <v>2.09</v>
      </c>
      <c r="D66" s="150">
        <v>1.7969999999999999</v>
      </c>
      <c r="E66" s="150">
        <v>3.1480000000000001</v>
      </c>
      <c r="F66" s="150">
        <v>1.9470000000000001</v>
      </c>
      <c r="G66" s="150"/>
      <c r="H66" s="226">
        <f ca="1">OFFSET($HH66,0,'Расчет стоимости'!$M$10,1,1)</f>
        <v>1.18</v>
      </c>
      <c r="I66" s="150">
        <v>1</v>
      </c>
      <c r="J66" s="150">
        <v>1</v>
      </c>
      <c r="K66" s="149">
        <v>1</v>
      </c>
      <c r="L66" s="149">
        <v>1</v>
      </c>
      <c r="M66" s="372">
        <v>4.2999999999999997E-2</v>
      </c>
      <c r="N66" s="145">
        <v>3.7000000000000005E-2</v>
      </c>
      <c r="O66" s="145">
        <v>1.7000000000000001E-2</v>
      </c>
      <c r="P66" s="145">
        <v>5.5E-2</v>
      </c>
      <c r="Q66" s="145">
        <v>4.0000000000000001E-3</v>
      </c>
      <c r="R66" s="152" t="s">
        <v>242</v>
      </c>
      <c r="S66" s="145" t="s">
        <v>266</v>
      </c>
      <c r="T66" s="225">
        <f t="shared" ref="T66:W85" si="182">IF(IFERROR(HLOOKUP(T$5,$HN$5:$IQ$91,$A66,FALSE),0)=0,1,HLOOKUP(T$5,$HN$5:$IQ$91,$A66,FALSE))</f>
        <v>1</v>
      </c>
      <c r="U66" s="225">
        <f t="shared" si="182"/>
        <v>1</v>
      </c>
      <c r="V66" s="225">
        <f t="shared" si="182"/>
        <v>1</v>
      </c>
      <c r="W66" s="225">
        <f t="shared" si="182"/>
        <v>1</v>
      </c>
      <c r="X66" s="145">
        <f t="shared" si="175"/>
        <v>1</v>
      </c>
      <c r="Y66" s="145">
        <v>7.1</v>
      </c>
      <c r="Z66" s="145">
        <v>7.21</v>
      </c>
      <c r="AA66" s="145">
        <v>7.21</v>
      </c>
      <c r="AB66" s="145">
        <v>7.24</v>
      </c>
      <c r="AC66" s="145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5">
        <f t="shared" si="176"/>
        <v>1</v>
      </c>
      <c r="BE66" s="145">
        <v>4.38</v>
      </c>
      <c r="BF66" s="145">
        <v>4.38</v>
      </c>
      <c r="BG66" s="145">
        <v>4.38</v>
      </c>
      <c r="BH66" s="145">
        <v>4.4000000000000004</v>
      </c>
      <c r="BI66" s="145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5">
        <f t="shared" si="177"/>
        <v>1</v>
      </c>
      <c r="CK66" s="145">
        <v>5.14</v>
      </c>
      <c r="CL66" s="145">
        <v>5.16</v>
      </c>
      <c r="CM66" s="145">
        <v>5.16</v>
      </c>
      <c r="CN66" s="145">
        <v>5.18</v>
      </c>
      <c r="CO66" s="145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5">
        <f t="shared" si="178"/>
        <v>1</v>
      </c>
      <c r="DQ66" s="145">
        <v>6.07</v>
      </c>
      <c r="DR66" s="145">
        <v>6.12</v>
      </c>
      <c r="DS66" s="145">
        <v>6.12</v>
      </c>
      <c r="DT66" s="145">
        <v>6.14</v>
      </c>
      <c r="DU66" s="145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5">
        <f t="shared" si="179"/>
        <v>1</v>
      </c>
      <c r="EW66" s="145">
        <v>6.08</v>
      </c>
      <c r="EX66" s="145">
        <v>6.12</v>
      </c>
      <c r="EY66" s="145">
        <v>6.12</v>
      </c>
      <c r="EZ66" s="145">
        <v>6.14</v>
      </c>
      <c r="FA66" s="145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5">
        <f t="shared" si="180"/>
        <v>1</v>
      </c>
      <c r="GC66" s="145">
        <v>15.97</v>
      </c>
      <c r="GD66" s="145">
        <v>16.079999999999998</v>
      </c>
      <c r="GE66" s="145">
        <v>16.079999999999998</v>
      </c>
      <c r="GF66" s="145">
        <v>16.14</v>
      </c>
      <c r="GG66" s="145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3">
        <v>2</v>
      </c>
      <c r="HI66" s="218">
        <v>1.18</v>
      </c>
      <c r="HJ66" s="41">
        <v>1.19</v>
      </c>
      <c r="HK66" s="41">
        <v>1.19</v>
      </c>
      <c r="HM66" s="373">
        <f t="shared" si="173"/>
        <v>5</v>
      </c>
      <c r="HN66" s="145">
        <v>1</v>
      </c>
      <c r="HO66" s="219">
        <v>1.008</v>
      </c>
      <c r="HP66" s="219">
        <v>1.014</v>
      </c>
      <c r="HQ66" s="219">
        <v>0.97799999999999998</v>
      </c>
      <c r="HR66" s="219">
        <v>1.0229999999999999</v>
      </c>
    </row>
    <row r="67" spans="1:240" ht="12.75" hidden="1" customHeight="1" x14ac:dyDescent="0.2">
      <c r="A67" s="373">
        <f>A66+1</f>
        <v>63</v>
      </c>
      <c r="B67" s="149" t="s">
        <v>1321</v>
      </c>
      <c r="C67" s="150">
        <v>1.42</v>
      </c>
      <c r="D67" s="150">
        <v>1.38</v>
      </c>
      <c r="E67" s="150">
        <v>1.661</v>
      </c>
      <c r="F67" s="150">
        <v>1.07</v>
      </c>
      <c r="G67" s="150"/>
      <c r="H67" s="226">
        <f ca="1">OFFSET($HH67,0,'Расчет стоимости'!$M$10,1,1)</f>
        <v>1.21</v>
      </c>
      <c r="I67" s="150">
        <v>1</v>
      </c>
      <c r="J67" s="150">
        <v>1</v>
      </c>
      <c r="K67" s="149">
        <v>1</v>
      </c>
      <c r="L67" s="149">
        <v>1</v>
      </c>
      <c r="M67" s="372">
        <v>4.2999999999999997E-2</v>
      </c>
      <c r="N67" s="145">
        <v>3.7000000000000005E-2</v>
      </c>
      <c r="O67" s="145">
        <v>1.7000000000000001E-2</v>
      </c>
      <c r="P67" s="145">
        <v>5.5E-2</v>
      </c>
      <c r="Q67" s="145">
        <v>4.0000000000000001E-3</v>
      </c>
      <c r="R67" s="152" t="s">
        <v>242</v>
      </c>
      <c r="S67" s="145" t="s">
        <v>265</v>
      </c>
      <c r="T67" s="225">
        <f t="shared" si="182"/>
        <v>1.0209999999999999</v>
      </c>
      <c r="U67" s="225">
        <f t="shared" si="182"/>
        <v>1.0209999999999999</v>
      </c>
      <c r="V67" s="225">
        <f t="shared" si="182"/>
        <v>1.0209999999999999</v>
      </c>
      <c r="W67" s="225">
        <f t="shared" si="182"/>
        <v>1.0209999999999999</v>
      </c>
      <c r="X67" s="145">
        <f t="shared" si="175"/>
        <v>1</v>
      </c>
      <c r="Y67" s="145">
        <v>8.2100000000000009</v>
      </c>
      <c r="Z67" s="145">
        <f>8.26</f>
        <v>8.26</v>
      </c>
      <c r="AA67" s="145">
        <v>8.26</v>
      </c>
      <c r="AB67" s="145">
        <v>8.2899999999999991</v>
      </c>
      <c r="AC67" s="145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5">
        <f t="shared" si="176"/>
        <v>1</v>
      </c>
      <c r="BE67" s="145">
        <v>4.8899999999999997</v>
      </c>
      <c r="BF67" s="145">
        <f>5.02</f>
        <v>5.0199999999999996</v>
      </c>
      <c r="BG67" s="145">
        <v>5.0199999999999996</v>
      </c>
      <c r="BH67" s="145">
        <v>5.04</v>
      </c>
      <c r="BI67" s="145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5">
        <f t="shared" si="177"/>
        <v>1</v>
      </c>
      <c r="CK67" s="145">
        <v>6.69</v>
      </c>
      <c r="CL67" s="145">
        <v>6.72</v>
      </c>
      <c r="CM67" s="145">
        <v>6.72</v>
      </c>
      <c r="CN67" s="145">
        <v>6.75</v>
      </c>
      <c r="CO67" s="145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5">
        <f t="shared" si="178"/>
        <v>1</v>
      </c>
      <c r="DQ67" s="145">
        <v>6.56</v>
      </c>
      <c r="DR67" s="145">
        <v>6.6</v>
      </c>
      <c r="DS67" s="145">
        <v>6.6</v>
      </c>
      <c r="DT67" s="145">
        <v>6.63</v>
      </c>
      <c r="DU67" s="145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5">
        <f t="shared" si="179"/>
        <v>1</v>
      </c>
      <c r="EW67" s="145">
        <v>7.56</v>
      </c>
      <c r="EX67" s="145">
        <v>7.6</v>
      </c>
      <c r="EY67" s="145">
        <v>7.6</v>
      </c>
      <c r="EZ67" s="145">
        <v>7.63</v>
      </c>
      <c r="FA67" s="145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5">
        <f t="shared" si="180"/>
        <v>1</v>
      </c>
      <c r="GC67" s="145">
        <v>19.04</v>
      </c>
      <c r="GD67" s="145">
        <f>19.19</f>
        <v>19.190000000000001</v>
      </c>
      <c r="GE67" s="145">
        <v>19.190000000000001</v>
      </c>
      <c r="GF67" s="145">
        <v>19.27</v>
      </c>
      <c r="GG67" s="145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3">
        <v>2</v>
      </c>
      <c r="HI67" s="218">
        <v>1.21</v>
      </c>
      <c r="HJ67" s="41">
        <v>1.19</v>
      </c>
      <c r="HK67" s="41">
        <v>1.19</v>
      </c>
      <c r="HM67" s="373">
        <f t="shared" si="173"/>
        <v>4</v>
      </c>
      <c r="HN67" s="219">
        <v>1.0209999999999999</v>
      </c>
      <c r="HO67" s="219">
        <v>1</v>
      </c>
      <c r="HP67" s="219">
        <v>0.97199999999999998</v>
      </c>
      <c r="HQ67" s="219">
        <v>0.99199999999999999</v>
      </c>
    </row>
    <row r="68" spans="1:240" ht="12.75" hidden="1" customHeight="1" x14ac:dyDescent="0.2">
      <c r="A68" s="373">
        <f>A67+1</f>
        <v>64</v>
      </c>
      <c r="B68" s="149" t="s">
        <v>1251</v>
      </c>
      <c r="C68" s="150">
        <v>1.1890000000000001</v>
      </c>
      <c r="D68" s="150">
        <v>1.2150000000000001</v>
      </c>
      <c r="E68" s="150">
        <v>1.165</v>
      </c>
      <c r="F68" s="150">
        <v>0.94799999999999995</v>
      </c>
      <c r="G68" s="150"/>
      <c r="H68" s="226">
        <f ca="1">OFFSET($HH68,0,'Расчет стоимости'!$M$10,1,1)</f>
        <v>1.0900000000000001</v>
      </c>
      <c r="I68" s="150">
        <v>1</v>
      </c>
      <c r="J68" s="150">
        <v>1</v>
      </c>
      <c r="K68" s="149">
        <v>1</v>
      </c>
      <c r="L68" s="149">
        <v>1</v>
      </c>
      <c r="M68" s="372">
        <v>3.2000000000000001E-2</v>
      </c>
      <c r="N68" s="145">
        <v>2.8999999999999998E-2</v>
      </c>
      <c r="O68" s="145">
        <v>1.3000000000000001E-2</v>
      </c>
      <c r="P68" s="145">
        <v>0.04</v>
      </c>
      <c r="Q68" s="145">
        <v>3.0000000000000001E-3</v>
      </c>
      <c r="R68" s="152" t="s">
        <v>236</v>
      </c>
      <c r="S68" s="145" t="s">
        <v>266</v>
      </c>
      <c r="T68" s="225">
        <f t="shared" si="182"/>
        <v>1</v>
      </c>
      <c r="U68" s="225">
        <f t="shared" si="182"/>
        <v>1</v>
      </c>
      <c r="V68" s="225">
        <f t="shared" si="182"/>
        <v>1</v>
      </c>
      <c r="W68" s="225">
        <f t="shared" si="182"/>
        <v>1</v>
      </c>
      <c r="X68" s="145">
        <f t="shared" si="175"/>
        <v>1</v>
      </c>
      <c r="Y68" s="145">
        <v>5.32</v>
      </c>
      <c r="Z68" s="145">
        <v>5.36</v>
      </c>
      <c r="AA68" s="145">
        <v>5.36</v>
      </c>
      <c r="AB68" s="145">
        <v>5.38</v>
      </c>
      <c r="AC68" s="145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5">
        <f t="shared" si="176"/>
        <v>1</v>
      </c>
      <c r="BE68" s="145">
        <v>4.34</v>
      </c>
      <c r="BF68" s="145">
        <v>3.99</v>
      </c>
      <c r="BG68" s="145">
        <v>3.99</v>
      </c>
      <c r="BH68" s="145">
        <v>3.58</v>
      </c>
      <c r="BI68" s="145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5">
        <f t="shared" si="177"/>
        <v>1</v>
      </c>
      <c r="CK68" s="145">
        <v>4.17</v>
      </c>
      <c r="CL68" s="145">
        <v>3.77</v>
      </c>
      <c r="CM68" s="145">
        <v>3.77</v>
      </c>
      <c r="CN68" s="145">
        <v>3.7</v>
      </c>
      <c r="CO68" s="145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5">
        <f t="shared" si="178"/>
        <v>1</v>
      </c>
      <c r="DQ68" s="145">
        <v>4.32</v>
      </c>
      <c r="DR68" s="145">
        <v>4.43</v>
      </c>
      <c r="DS68" s="145">
        <v>4.43</v>
      </c>
      <c r="DT68" s="145">
        <v>4.28</v>
      </c>
      <c r="DU68" s="145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5">
        <f t="shared" si="179"/>
        <v>1</v>
      </c>
      <c r="EW68" s="145">
        <v>4.41</v>
      </c>
      <c r="EX68" s="145">
        <v>4.04</v>
      </c>
      <c r="EY68" s="145">
        <v>4.04</v>
      </c>
      <c r="EZ68" s="145">
        <v>4.01</v>
      </c>
      <c r="FA68" s="145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5">
        <f t="shared" si="180"/>
        <v>1</v>
      </c>
      <c r="GC68" s="145">
        <v>7.45</v>
      </c>
      <c r="GD68" s="145">
        <v>7.48</v>
      </c>
      <c r="GE68" s="145">
        <v>7.48</v>
      </c>
      <c r="GF68" s="145">
        <v>7.51</v>
      </c>
      <c r="GG68" s="145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3">
        <v>1</v>
      </c>
      <c r="HI68" s="218">
        <v>1.0900000000000001</v>
      </c>
      <c r="HJ68" s="229">
        <v>1.0900000000000001</v>
      </c>
      <c r="HK68" s="229">
        <v>1.0900000000000001</v>
      </c>
      <c r="HM68" s="373">
        <f t="shared" si="173"/>
        <v>1</v>
      </c>
      <c r="HN68" s="145">
        <v>1</v>
      </c>
    </row>
    <row r="69" spans="1:240" ht="12.75" hidden="1" customHeight="1" x14ac:dyDescent="0.2">
      <c r="A69" s="373">
        <f t="shared" ref="A69:A91" si="183">A68+1</f>
        <v>65</v>
      </c>
      <c r="B69" s="149" t="s">
        <v>167</v>
      </c>
      <c r="C69" s="150">
        <v>1.1919999999999999</v>
      </c>
      <c r="D69" s="150">
        <v>1.1359999999999999</v>
      </c>
      <c r="E69" s="150">
        <v>1.397</v>
      </c>
      <c r="F69" s="150">
        <v>1.151</v>
      </c>
      <c r="G69" s="150"/>
      <c r="H69" s="226">
        <f ca="1">OFFSET($HH69,0,'Расчет стоимости'!$M$10,1,1)</f>
        <v>1.0900000000000001</v>
      </c>
      <c r="I69" s="150">
        <v>1</v>
      </c>
      <c r="J69" s="150">
        <v>1</v>
      </c>
      <c r="K69" s="149">
        <v>1</v>
      </c>
      <c r="L69" s="149">
        <v>1</v>
      </c>
      <c r="M69" s="372">
        <v>4.2999999999999997E-2</v>
      </c>
      <c r="N69" s="145">
        <v>3.7000000000000005E-2</v>
      </c>
      <c r="O69" s="145">
        <v>1.7000000000000001E-2</v>
      </c>
      <c r="P69" s="145">
        <v>5.5E-2</v>
      </c>
      <c r="Q69" s="145">
        <v>4.0000000000000001E-3</v>
      </c>
      <c r="R69" s="152" t="s">
        <v>237</v>
      </c>
      <c r="S69" s="145" t="s">
        <v>266</v>
      </c>
      <c r="T69" s="225">
        <f t="shared" si="182"/>
        <v>1</v>
      </c>
      <c r="U69" s="225">
        <f t="shared" si="182"/>
        <v>1</v>
      </c>
      <c r="V69" s="225">
        <f t="shared" si="182"/>
        <v>1</v>
      </c>
      <c r="W69" s="225">
        <f t="shared" si="182"/>
        <v>1</v>
      </c>
      <c r="X69" s="145">
        <f t="shared" si="175"/>
        <v>1</v>
      </c>
      <c r="Y69" s="145">
        <v>6.59</v>
      </c>
      <c r="Z69" s="145">
        <v>6.77</v>
      </c>
      <c r="AA69" s="145">
        <v>6.77</v>
      </c>
      <c r="AB69" s="145">
        <v>6.8</v>
      </c>
      <c r="AC69" s="145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5">
        <f t="shared" si="176"/>
        <v>1</v>
      </c>
      <c r="BE69" s="145">
        <v>4.2699999999999996</v>
      </c>
      <c r="BF69" s="145">
        <v>4.32</v>
      </c>
      <c r="BG69" s="145">
        <v>4.32</v>
      </c>
      <c r="BH69" s="145">
        <v>4.34</v>
      </c>
      <c r="BI69" s="145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5">
        <f t="shared" si="177"/>
        <v>1</v>
      </c>
      <c r="CK69" s="145">
        <v>4.24</v>
      </c>
      <c r="CL69" s="145">
        <v>4.34</v>
      </c>
      <c r="CM69" s="145">
        <v>4.34</v>
      </c>
      <c r="CN69" s="145">
        <v>4.3600000000000003</v>
      </c>
      <c r="CO69" s="145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5">
        <f t="shared" si="178"/>
        <v>1</v>
      </c>
      <c r="DQ69" s="145">
        <v>5.12</v>
      </c>
      <c r="DR69" s="145">
        <v>5.25</v>
      </c>
      <c r="DS69" s="145">
        <v>5.25</v>
      </c>
      <c r="DT69" s="145">
        <v>5.27</v>
      </c>
      <c r="DU69" s="145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5">
        <f t="shared" si="179"/>
        <v>1</v>
      </c>
      <c r="EW69" s="145">
        <v>4.5999999999999996</v>
      </c>
      <c r="EX69" s="145">
        <v>4.7300000000000004</v>
      </c>
      <c r="EY69" s="145">
        <v>4.7300000000000004</v>
      </c>
      <c r="EZ69" s="145">
        <v>4.75</v>
      </c>
      <c r="FA69" s="145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5">
        <f t="shared" si="180"/>
        <v>1</v>
      </c>
      <c r="GC69" s="145">
        <v>12.88</v>
      </c>
      <c r="GD69" s="145">
        <v>13.18</v>
      </c>
      <c r="GE69" s="145">
        <v>13.18</v>
      </c>
      <c r="GF69" s="145">
        <v>13.23</v>
      </c>
      <c r="GG69" s="145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3">
        <v>1</v>
      </c>
      <c r="HI69" s="218">
        <v>1.0900000000000001</v>
      </c>
      <c r="HJ69" s="229">
        <v>1.0900000000000001</v>
      </c>
      <c r="HK69" s="229">
        <v>1.0900000000000001</v>
      </c>
      <c r="HM69" s="373">
        <f t="shared" si="173"/>
        <v>1</v>
      </c>
      <c r="HN69" s="145">
        <v>1</v>
      </c>
    </row>
    <row r="70" spans="1:240" hidden="1" x14ac:dyDescent="0.2">
      <c r="A70" s="373">
        <f t="shared" si="183"/>
        <v>66</v>
      </c>
      <c r="B70" s="149" t="s">
        <v>168</v>
      </c>
      <c r="C70" s="150">
        <v>1.32</v>
      </c>
      <c r="D70" s="150">
        <v>1.2450000000000001</v>
      </c>
      <c r="E70" s="150">
        <v>1.5980000000000001</v>
      </c>
      <c r="F70" s="150">
        <v>1.306</v>
      </c>
      <c r="G70" s="150"/>
      <c r="H70" s="226">
        <f ca="1">OFFSET($HH70,0,'Расчет стоимости'!$M$10,1,1)</f>
        <v>1.0900000000000001</v>
      </c>
      <c r="I70" s="150">
        <v>1</v>
      </c>
      <c r="J70" s="150">
        <v>1</v>
      </c>
      <c r="K70" s="149">
        <v>1</v>
      </c>
      <c r="L70" s="149">
        <v>1</v>
      </c>
      <c r="M70" s="372">
        <v>4.2999999999999997E-2</v>
      </c>
      <c r="N70" s="145">
        <v>3.7000000000000005E-2</v>
      </c>
      <c r="O70" s="145">
        <v>1.7000000000000001E-2</v>
      </c>
      <c r="P70" s="145">
        <v>5.5E-2</v>
      </c>
      <c r="Q70" s="145">
        <v>4.0000000000000001E-3</v>
      </c>
      <c r="R70" s="152" t="s">
        <v>242</v>
      </c>
      <c r="S70" s="145" t="s">
        <v>266</v>
      </c>
      <c r="T70" s="225">
        <f t="shared" si="182"/>
        <v>1</v>
      </c>
      <c r="U70" s="225">
        <f t="shared" si="182"/>
        <v>1</v>
      </c>
      <c r="V70" s="225">
        <f t="shared" si="182"/>
        <v>1</v>
      </c>
      <c r="W70" s="225">
        <f t="shared" si="182"/>
        <v>1</v>
      </c>
      <c r="X70" s="145">
        <f t="shared" ref="X70:X91" si="184">HLOOKUP($X$4,Y$5:BB$91,$A70,FALSE)</f>
        <v>1</v>
      </c>
      <c r="Y70" s="145">
        <v>6.61</v>
      </c>
      <c r="Z70" s="145">
        <f>6.79</f>
        <v>6.79</v>
      </c>
      <c r="AA70" s="145">
        <v>6.79</v>
      </c>
      <c r="AB70" s="145">
        <v>6.82</v>
      </c>
      <c r="AC70" s="145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5">
        <f t="shared" ref="BD70:BD91" si="185">HLOOKUP($BD$4,BE$5:CH$91,$A70,FALSE)</f>
        <v>1</v>
      </c>
      <c r="BE70" s="145">
        <v>5.72</v>
      </c>
      <c r="BF70" s="145">
        <v>5.44</v>
      </c>
      <c r="BG70" s="145">
        <v>5.44</v>
      </c>
      <c r="BH70" s="145">
        <v>5.46</v>
      </c>
      <c r="BI70" s="145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5">
        <f t="shared" ref="CJ70:CJ91" si="186">HLOOKUP($CJ$4,CK$5:DN$91,$A70,FALSE)</f>
        <v>1</v>
      </c>
      <c r="CK70" s="145">
        <v>5.37</v>
      </c>
      <c r="CL70" s="145">
        <v>4.78</v>
      </c>
      <c r="CM70" s="145">
        <v>4.78</v>
      </c>
      <c r="CN70" s="145">
        <v>4.8</v>
      </c>
      <c r="CO70" s="145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5">
        <f t="shared" ref="DP70:DP91" si="187">HLOOKUP($DP$4,DQ$5:ET$91,$A70,FALSE)</f>
        <v>1</v>
      </c>
      <c r="DQ70" s="145">
        <v>7.35</v>
      </c>
      <c r="DR70" s="145">
        <v>5.92</v>
      </c>
      <c r="DS70" s="145">
        <v>5.92</v>
      </c>
      <c r="DT70" s="145">
        <v>6.95</v>
      </c>
      <c r="DU70" s="145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5">
        <f t="shared" ref="EV70:EV91" si="188">HLOOKUP($EV$4,EW$5:FZ$91,$A70,FALSE)</f>
        <v>1</v>
      </c>
      <c r="EW70" s="145">
        <v>6.48</v>
      </c>
      <c r="EX70" s="145">
        <v>5.76</v>
      </c>
      <c r="EY70" s="145">
        <v>5.76</v>
      </c>
      <c r="EZ70" s="145">
        <v>5.77</v>
      </c>
      <c r="FA70" s="145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5">
        <f t="shared" ref="GB70:GB91" si="189">HLOOKUP($GB$4,GC$5:HF$91,$A70,FALSE)</f>
        <v>1</v>
      </c>
      <c r="GC70" s="145">
        <v>15.31</v>
      </c>
      <c r="GD70" s="145">
        <v>15.12</v>
      </c>
      <c r="GE70" s="145">
        <v>15.12</v>
      </c>
      <c r="GF70" s="145">
        <v>15.03</v>
      </c>
      <c r="GG70" s="145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3">
        <v>1</v>
      </c>
      <c r="HI70" s="218">
        <v>1.0900000000000001</v>
      </c>
      <c r="HJ70" s="229">
        <v>1.0900000000000001</v>
      </c>
      <c r="HK70" s="229">
        <v>1.0900000000000001</v>
      </c>
      <c r="HM70" s="373">
        <f t="shared" si="173"/>
        <v>1</v>
      </c>
      <c r="HN70" s="145">
        <v>1</v>
      </c>
    </row>
    <row r="71" spans="1:240" hidden="1" x14ac:dyDescent="0.2">
      <c r="A71" s="373">
        <f t="shared" si="183"/>
        <v>67</v>
      </c>
      <c r="B71" s="149" t="s">
        <v>169</v>
      </c>
      <c r="C71" s="150">
        <v>1.3440000000000001</v>
      </c>
      <c r="D71" s="150">
        <v>1.371</v>
      </c>
      <c r="E71" s="150">
        <v>1.304</v>
      </c>
      <c r="F71" s="150">
        <v>1.1579999999999999</v>
      </c>
      <c r="G71" s="150"/>
      <c r="H71" s="226">
        <f ca="1">OFFSET($HH71,0,'Расчет стоимости'!$M$10,1,1)</f>
        <v>1.0900000000000001</v>
      </c>
      <c r="I71" s="150">
        <v>1</v>
      </c>
      <c r="J71" s="150">
        <v>1</v>
      </c>
      <c r="K71" s="149">
        <v>1</v>
      </c>
      <c r="L71" s="149">
        <v>1</v>
      </c>
      <c r="M71" s="372">
        <v>4.2999999999999997E-2</v>
      </c>
      <c r="N71" s="145">
        <v>3.7000000000000005E-2</v>
      </c>
      <c r="O71" s="145">
        <v>1.7000000000000001E-2</v>
      </c>
      <c r="P71" s="145">
        <v>5.5E-2</v>
      </c>
      <c r="Q71" s="145">
        <v>4.0000000000000001E-3</v>
      </c>
      <c r="R71" s="152" t="s">
        <v>242</v>
      </c>
      <c r="T71" s="225">
        <f t="shared" si="182"/>
        <v>1</v>
      </c>
      <c r="U71" s="225">
        <f t="shared" si="182"/>
        <v>1</v>
      </c>
      <c r="V71" s="225">
        <f t="shared" si="182"/>
        <v>1</v>
      </c>
      <c r="W71" s="225">
        <f t="shared" si="182"/>
        <v>1</v>
      </c>
      <c r="X71" s="145">
        <f t="shared" si="184"/>
        <v>1</v>
      </c>
      <c r="Y71" s="145">
        <v>6.36</v>
      </c>
      <c r="Z71" s="145">
        <v>6.52</v>
      </c>
      <c r="AA71" s="145">
        <v>6.52</v>
      </c>
      <c r="AB71" s="145">
        <v>6.55</v>
      </c>
      <c r="AC71" s="145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5">
        <f t="shared" si="185"/>
        <v>1</v>
      </c>
      <c r="BE71" s="145">
        <v>4.88</v>
      </c>
      <c r="BF71" s="145">
        <v>5.01</v>
      </c>
      <c r="BG71" s="145">
        <v>5.01</v>
      </c>
      <c r="BH71" s="145">
        <v>5.03</v>
      </c>
      <c r="BI71" s="145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5">
        <f t="shared" si="186"/>
        <v>1</v>
      </c>
      <c r="CK71" s="145">
        <v>4.68</v>
      </c>
      <c r="CL71" s="145">
        <v>4.8099999999999996</v>
      </c>
      <c r="CM71" s="145">
        <v>4.8099999999999996</v>
      </c>
      <c r="CN71" s="145">
        <v>4.83</v>
      </c>
      <c r="CO71" s="145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5">
        <f t="shared" si="187"/>
        <v>1</v>
      </c>
      <c r="DQ71" s="145">
        <v>5.44</v>
      </c>
      <c r="DR71" s="145">
        <v>5.49</v>
      </c>
      <c r="DS71" s="145">
        <v>5.49</v>
      </c>
      <c r="DT71" s="145">
        <v>5.51</v>
      </c>
      <c r="DU71" s="145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5">
        <f t="shared" si="188"/>
        <v>1</v>
      </c>
      <c r="EW71" s="145">
        <v>4.79</v>
      </c>
      <c r="EX71" s="145">
        <v>4.92</v>
      </c>
      <c r="EY71" s="145">
        <v>4.92</v>
      </c>
      <c r="EZ71" s="145">
        <v>4.9400000000000004</v>
      </c>
      <c r="FA71" s="145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5">
        <f t="shared" si="189"/>
        <v>1</v>
      </c>
      <c r="GC71" s="145">
        <v>12.6</v>
      </c>
      <c r="GD71" s="145">
        <v>12.72</v>
      </c>
      <c r="GE71" s="145">
        <v>12.72</v>
      </c>
      <c r="GF71" s="145">
        <v>12.77</v>
      </c>
      <c r="GG71" s="145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3">
        <v>1</v>
      </c>
      <c r="HI71" s="218">
        <v>1.0900000000000001</v>
      </c>
      <c r="HJ71" s="229">
        <v>1.0900000000000001</v>
      </c>
      <c r="HK71" s="229">
        <v>1.0900000000000001</v>
      </c>
      <c r="HM71" s="373">
        <f t="shared" ref="HM71:HM91" si="190">COUNTIF($HN71:$IQ71,"&gt;0")</f>
        <v>5</v>
      </c>
      <c r="HN71" s="145">
        <v>1</v>
      </c>
      <c r="HO71" s="145">
        <v>1.0189999999999999</v>
      </c>
      <c r="HP71" s="145">
        <v>1.0324</v>
      </c>
      <c r="HQ71" s="145">
        <v>1.0463</v>
      </c>
      <c r="HR71" s="145">
        <v>1.0640000000000001</v>
      </c>
    </row>
    <row r="72" spans="1:240" hidden="1" x14ac:dyDescent="0.2">
      <c r="A72" s="373">
        <f t="shared" si="183"/>
        <v>68</v>
      </c>
      <c r="B72" s="149" t="s">
        <v>1252</v>
      </c>
      <c r="C72" s="150">
        <v>1.1200000000000001</v>
      </c>
      <c r="D72" s="150">
        <v>1.1739999999999999</v>
      </c>
      <c r="E72" s="150">
        <v>0.95799999999999996</v>
      </c>
      <c r="F72" s="150">
        <v>0.96899999999999997</v>
      </c>
      <c r="G72" s="150"/>
      <c r="H72" s="226">
        <f ca="1">OFFSET($HH72,0,'Расчет стоимости'!$M$10,1,1)</f>
        <v>1.0900000000000001</v>
      </c>
      <c r="I72" s="150">
        <v>1</v>
      </c>
      <c r="J72" s="150">
        <v>1</v>
      </c>
      <c r="K72" s="149">
        <v>1</v>
      </c>
      <c r="L72" s="149">
        <v>1</v>
      </c>
      <c r="M72" s="372">
        <v>3.2000000000000001E-2</v>
      </c>
      <c r="N72" s="145">
        <v>2.8999999999999998E-2</v>
      </c>
      <c r="O72" s="145">
        <v>1.3000000000000001E-2</v>
      </c>
      <c r="P72" s="145">
        <v>0.04</v>
      </c>
      <c r="Q72" s="145">
        <v>3.0000000000000001E-3</v>
      </c>
      <c r="R72" s="152" t="s">
        <v>236</v>
      </c>
      <c r="T72" s="225">
        <f t="shared" si="182"/>
        <v>1</v>
      </c>
      <c r="U72" s="225">
        <f t="shared" si="182"/>
        <v>1</v>
      </c>
      <c r="V72" s="225">
        <f t="shared" si="182"/>
        <v>1</v>
      </c>
      <c r="W72" s="225">
        <f t="shared" si="182"/>
        <v>1</v>
      </c>
      <c r="X72" s="145">
        <f t="shared" si="184"/>
        <v>1</v>
      </c>
      <c r="Y72" s="145">
        <v>5.72</v>
      </c>
      <c r="Z72" s="145">
        <v>5.85</v>
      </c>
      <c r="AA72" s="145">
        <v>5.85</v>
      </c>
      <c r="AB72" s="145">
        <v>5.87</v>
      </c>
      <c r="AC72" s="145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5">
        <f t="shared" si="185"/>
        <v>1</v>
      </c>
      <c r="BE72" s="145">
        <v>4.46</v>
      </c>
      <c r="BF72" s="145">
        <v>3.87</v>
      </c>
      <c r="BG72" s="145">
        <v>3.87</v>
      </c>
      <c r="BH72" s="145">
        <v>3.71</v>
      </c>
      <c r="BI72" s="145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5">
        <f t="shared" si="186"/>
        <v>1</v>
      </c>
      <c r="CK72" s="145">
        <v>4.16</v>
      </c>
      <c r="CL72" s="145">
        <v>4.17</v>
      </c>
      <c r="CM72" s="145">
        <v>4.17</v>
      </c>
      <c r="CN72" s="145">
        <v>3.99</v>
      </c>
      <c r="CO72" s="145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5">
        <f t="shared" si="187"/>
        <v>1</v>
      </c>
      <c r="DQ72" s="145">
        <v>5.23</v>
      </c>
      <c r="DR72" s="145">
        <v>5.0199999999999996</v>
      </c>
      <c r="DS72" s="145">
        <v>5.0199999999999996</v>
      </c>
      <c r="DT72" s="145">
        <v>4.95</v>
      </c>
      <c r="DU72" s="145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5">
        <f t="shared" si="188"/>
        <v>1</v>
      </c>
      <c r="EW72" s="145">
        <v>4.8499999999999996</v>
      </c>
      <c r="EX72" s="145">
        <v>4.8</v>
      </c>
      <c r="EY72" s="145">
        <v>4.8</v>
      </c>
      <c r="EZ72" s="145">
        <v>4.66</v>
      </c>
      <c r="FA72" s="145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5">
        <f t="shared" si="189"/>
        <v>1</v>
      </c>
      <c r="GC72" s="145">
        <v>12.49</v>
      </c>
      <c r="GD72" s="145">
        <v>12.64</v>
      </c>
      <c r="GE72" s="145">
        <v>12.64</v>
      </c>
      <c r="GF72" s="145">
        <v>12.69</v>
      </c>
      <c r="GG72" s="145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3">
        <v>1</v>
      </c>
      <c r="HI72" s="218">
        <v>1.0900000000000001</v>
      </c>
      <c r="HJ72" s="229">
        <v>1.0900000000000001</v>
      </c>
      <c r="HK72" s="229">
        <v>1.0900000000000001</v>
      </c>
      <c r="HM72" s="373">
        <f t="shared" si="190"/>
        <v>9</v>
      </c>
      <c r="HN72" s="145">
        <v>1</v>
      </c>
      <c r="HO72" s="145">
        <v>1.0169999999999999</v>
      </c>
      <c r="HP72" s="145">
        <v>1.0549999999999999</v>
      </c>
      <c r="HQ72" s="145">
        <v>1.0940000000000001</v>
      </c>
      <c r="HR72" s="145">
        <v>1.133</v>
      </c>
      <c r="HS72" s="145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3">
        <f t="shared" si="183"/>
        <v>69</v>
      </c>
      <c r="B73" s="149" t="s">
        <v>1322</v>
      </c>
      <c r="C73" s="150">
        <v>1.488</v>
      </c>
      <c r="D73" s="150">
        <v>1.3879999999999999</v>
      </c>
      <c r="E73" s="150">
        <v>1.841</v>
      </c>
      <c r="F73" s="150">
        <v>1.42</v>
      </c>
      <c r="G73" s="150"/>
      <c r="H73" s="226">
        <f ca="1">OFFSET($HH73,0,'Расчет стоимости'!$M$10,1,1)</f>
        <v>1.0900000000000001</v>
      </c>
      <c r="I73" s="150">
        <f t="shared" ref="I73" si="191">IF(OR(I$5="VI",I$5="VII",I$5="VIII",I$5="XI"),1.6,1)</f>
        <v>1</v>
      </c>
      <c r="J73" s="150">
        <f t="shared" ref="J73" si="192">IF(OR(J$5="VI",J$5="VII",J$5="VIII",J$5="XI"),1.6,1)</f>
        <v>1</v>
      </c>
      <c r="K73" s="150">
        <f t="shared" ref="K73:L73" si="193">IF(OR(K$5="VI",K$5="VII",K$5="VIII",K$5="XI"),1.6,1)</f>
        <v>1</v>
      </c>
      <c r="L73" s="150">
        <f t="shared" si="193"/>
        <v>1</v>
      </c>
      <c r="M73" s="372">
        <v>4.2999999999999997E-2</v>
      </c>
      <c r="N73" s="145">
        <v>3.7000000000000005E-2</v>
      </c>
      <c r="O73" s="145">
        <v>1.7000000000000001E-2</v>
      </c>
      <c r="P73" s="145">
        <v>5.5E-2</v>
      </c>
      <c r="Q73" s="145">
        <v>4.0000000000000001E-3</v>
      </c>
      <c r="R73" s="152" t="s">
        <v>242</v>
      </c>
      <c r="T73" s="225">
        <f t="shared" si="182"/>
        <v>1</v>
      </c>
      <c r="U73" s="225">
        <f t="shared" si="182"/>
        <v>1</v>
      </c>
      <c r="V73" s="225">
        <f t="shared" si="182"/>
        <v>1</v>
      </c>
      <c r="W73" s="225">
        <f t="shared" si="182"/>
        <v>1</v>
      </c>
      <c r="X73" s="145">
        <f t="shared" si="184"/>
        <v>1</v>
      </c>
      <c r="Y73" s="145">
        <v>6.42</v>
      </c>
      <c r="Z73" s="145">
        <v>6.59</v>
      </c>
      <c r="AA73" s="145">
        <v>6.59</v>
      </c>
      <c r="AB73" s="145">
        <v>6.62</v>
      </c>
      <c r="AC73" s="145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5">
        <f t="shared" si="185"/>
        <v>1</v>
      </c>
      <c r="BE73" s="145">
        <v>4.74</v>
      </c>
      <c r="BF73" s="145">
        <v>4.6399999999999997</v>
      </c>
      <c r="BG73" s="145">
        <v>4.6399999999999997</v>
      </c>
      <c r="BH73" s="145">
        <v>4.66</v>
      </c>
      <c r="BI73" s="145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5">
        <f t="shared" si="186"/>
        <v>1</v>
      </c>
      <c r="CK73" s="145">
        <v>5.15</v>
      </c>
      <c r="CL73" s="145">
        <v>5.19</v>
      </c>
      <c r="CM73" s="145">
        <v>5.19</v>
      </c>
      <c r="CN73" s="145">
        <v>5.12</v>
      </c>
      <c r="CO73" s="145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5">
        <f t="shared" si="187"/>
        <v>1</v>
      </c>
      <c r="DQ73" s="145">
        <v>5.26</v>
      </c>
      <c r="DR73" s="145">
        <v>5.39</v>
      </c>
      <c r="DS73" s="145">
        <v>5.39</v>
      </c>
      <c r="DT73" s="145">
        <v>5.41</v>
      </c>
      <c r="DU73" s="145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5">
        <f t="shared" si="188"/>
        <v>1</v>
      </c>
      <c r="EW73" s="145">
        <v>5.46</v>
      </c>
      <c r="EX73" s="145">
        <v>5.51</v>
      </c>
      <c r="EY73" s="145">
        <v>5.51</v>
      </c>
      <c r="EZ73" s="145">
        <v>5.49</v>
      </c>
      <c r="FA73" s="145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5">
        <f t="shared" si="189"/>
        <v>1</v>
      </c>
      <c r="GC73" s="145">
        <v>13.2</v>
      </c>
      <c r="GD73" s="145">
        <v>13.47</v>
      </c>
      <c r="GE73" s="145">
        <v>13.47</v>
      </c>
      <c r="GF73" s="145">
        <v>13.52</v>
      </c>
      <c r="GG73" s="145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3">
        <v>2</v>
      </c>
      <c r="HI73" s="218">
        <v>1.0900000000000001</v>
      </c>
      <c r="HJ73" s="41">
        <v>1.1200000000000001</v>
      </c>
      <c r="HK73" s="41">
        <v>1.1200000000000001</v>
      </c>
      <c r="HM73" s="373">
        <f t="shared" si="190"/>
        <v>14</v>
      </c>
      <c r="HN73" s="145">
        <v>1</v>
      </c>
      <c r="HO73" s="219">
        <v>1</v>
      </c>
      <c r="HP73" s="219">
        <v>1.05</v>
      </c>
      <c r="HQ73" s="219">
        <v>1.06</v>
      </c>
      <c r="HR73" s="219">
        <v>1.0900000000000001</v>
      </c>
      <c r="HS73" s="219">
        <v>1.8</v>
      </c>
      <c r="HT73" s="227">
        <v>1.87</v>
      </c>
      <c r="HU73" s="227">
        <v>1.41</v>
      </c>
      <c r="HV73" s="227">
        <v>1.1399999999999999</v>
      </c>
      <c r="HW73" s="227">
        <v>1.1599999999999999</v>
      </c>
      <c r="HX73" s="227">
        <v>1.31</v>
      </c>
      <c r="HY73" s="227">
        <v>1.78</v>
      </c>
      <c r="HZ73" s="227">
        <v>1.91</v>
      </c>
      <c r="IA73" s="227">
        <v>1.84</v>
      </c>
    </row>
    <row r="74" spans="1:240" ht="12.75" hidden="1" customHeight="1" x14ac:dyDescent="0.2">
      <c r="A74" s="373">
        <f>A73+1</f>
        <v>70</v>
      </c>
      <c r="B74" s="149" t="s">
        <v>1323</v>
      </c>
      <c r="C74" s="150">
        <v>1.26</v>
      </c>
      <c r="D74" s="150">
        <v>1.274</v>
      </c>
      <c r="E74" s="150">
        <v>1.2450000000000001</v>
      </c>
      <c r="F74" s="150">
        <v>1.1399999999999999</v>
      </c>
      <c r="G74" s="150"/>
      <c r="H74" s="226">
        <f ca="1">OFFSET($HH74,0,'Расчет стоимости'!$M$10,1,1)</f>
        <v>1.0900000000000001</v>
      </c>
      <c r="I74" s="150">
        <f t="shared" ref="I74" si="194">IF(OR(I$5="IV",I$5="V",I$5="VI"),2,1)</f>
        <v>1</v>
      </c>
      <c r="J74" s="150">
        <f t="shared" ref="J74" si="195">IF(OR(J$5="IV",J$5="V",J$5="VI"),2,1)</f>
        <v>1</v>
      </c>
      <c r="K74" s="150">
        <f t="shared" ref="K74:L74" si="196">IF(OR(K$5="IV",K$5="V",K$5="VI"),2,1)</f>
        <v>1</v>
      </c>
      <c r="L74" s="150">
        <f t="shared" si="196"/>
        <v>1</v>
      </c>
      <c r="M74" s="372">
        <v>3.2000000000000001E-2</v>
      </c>
      <c r="N74" s="145">
        <v>3.7000000000000005E-2</v>
      </c>
      <c r="O74" s="145">
        <v>1.7000000000000001E-2</v>
      </c>
      <c r="P74" s="145">
        <v>5.5E-2</v>
      </c>
      <c r="Q74" s="145">
        <v>4.0000000000000001E-3</v>
      </c>
      <c r="R74" s="152" t="s">
        <v>242</v>
      </c>
      <c r="S74" s="145" t="s">
        <v>266</v>
      </c>
      <c r="T74" s="225">
        <f t="shared" si="182"/>
        <v>1</v>
      </c>
      <c r="U74" s="225">
        <f t="shared" si="182"/>
        <v>1</v>
      </c>
      <c r="V74" s="225">
        <f t="shared" si="182"/>
        <v>1</v>
      </c>
      <c r="W74" s="225">
        <f t="shared" si="182"/>
        <v>1</v>
      </c>
      <c r="X74" s="145">
        <f t="shared" si="184"/>
        <v>1</v>
      </c>
      <c r="Y74" s="145">
        <v>6.73</v>
      </c>
      <c r="Z74" s="145">
        <v>6.91</v>
      </c>
      <c r="AA74" s="145">
        <v>6.91</v>
      </c>
      <c r="AB74" s="145">
        <v>6.94</v>
      </c>
      <c r="AC74" s="145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5">
        <f t="shared" si="185"/>
        <v>1</v>
      </c>
      <c r="BE74" s="145">
        <v>4.62</v>
      </c>
      <c r="BF74" s="145">
        <v>4.72</v>
      </c>
      <c r="BG74" s="145">
        <v>4.72</v>
      </c>
      <c r="BH74" s="145">
        <v>4.6900000000000004</v>
      </c>
      <c r="BI74" s="145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5">
        <f t="shared" si="186"/>
        <v>1</v>
      </c>
      <c r="CK74" s="145">
        <v>4.5</v>
      </c>
      <c r="CL74" s="145">
        <v>4.62</v>
      </c>
      <c r="CM74" s="145">
        <v>4.62</v>
      </c>
      <c r="CN74" s="145">
        <v>4.4400000000000004</v>
      </c>
      <c r="CO74" s="145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5">
        <f t="shared" si="187"/>
        <v>1</v>
      </c>
      <c r="DQ74" s="145">
        <v>5.65</v>
      </c>
      <c r="DR74" s="145">
        <v>5.8</v>
      </c>
      <c r="DS74" s="145">
        <v>5.8</v>
      </c>
      <c r="DT74" s="145">
        <v>5.82</v>
      </c>
      <c r="DU74" s="145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5">
        <f t="shared" si="188"/>
        <v>1</v>
      </c>
      <c r="EW74" s="145">
        <v>5.0599999999999996</v>
      </c>
      <c r="EX74" s="145">
        <v>5.19</v>
      </c>
      <c r="EY74" s="145">
        <v>5.19</v>
      </c>
      <c r="EZ74" s="145">
        <v>5.2</v>
      </c>
      <c r="FA74" s="145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5">
        <f t="shared" si="189"/>
        <v>1</v>
      </c>
      <c r="GC74" s="145">
        <v>13</v>
      </c>
      <c r="GD74" s="145">
        <v>13.34</v>
      </c>
      <c r="GE74" s="145">
        <v>13.34</v>
      </c>
      <c r="GF74" s="145">
        <v>13.39</v>
      </c>
      <c r="GG74" s="145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3">
        <v>2</v>
      </c>
      <c r="HI74" s="218">
        <v>1.0900000000000001</v>
      </c>
      <c r="HJ74" s="41">
        <v>1.1200000000000001</v>
      </c>
      <c r="HK74" s="41">
        <v>1.1200000000000001</v>
      </c>
      <c r="HM74" s="373">
        <f t="shared" si="190"/>
        <v>1</v>
      </c>
      <c r="HN74" s="145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3">
        <f>A74+1</f>
        <v>71</v>
      </c>
      <c r="B75" s="149" t="s">
        <v>1253</v>
      </c>
      <c r="C75" s="150">
        <v>1.284</v>
      </c>
      <c r="D75" s="150">
        <v>1.298</v>
      </c>
      <c r="E75" s="150">
        <v>1.202</v>
      </c>
      <c r="F75" s="150">
        <v>1.407</v>
      </c>
      <c r="G75" s="150"/>
      <c r="H75" s="226">
        <f ca="1">OFFSET($HH75,0,'Расчет стоимости'!$M$10,1,1)</f>
        <v>1.0900000000000001</v>
      </c>
      <c r="I75" s="150">
        <v>1</v>
      </c>
      <c r="J75" s="150">
        <v>1</v>
      </c>
      <c r="K75" s="149">
        <v>1</v>
      </c>
      <c r="L75" s="149">
        <v>1</v>
      </c>
      <c r="M75" s="372">
        <v>4.2999999999999997E-2</v>
      </c>
      <c r="N75" s="145">
        <v>3.7000000000000005E-2</v>
      </c>
      <c r="O75" s="145">
        <v>1.7000000000000001E-2</v>
      </c>
      <c r="P75" s="145">
        <v>5.5E-2</v>
      </c>
      <c r="Q75" s="145">
        <v>4.0000000000000001E-3</v>
      </c>
      <c r="R75" s="152" t="s">
        <v>242</v>
      </c>
      <c r="T75" s="225">
        <f t="shared" si="182"/>
        <v>1</v>
      </c>
      <c r="U75" s="225">
        <f t="shared" si="182"/>
        <v>1</v>
      </c>
      <c r="V75" s="225">
        <f t="shared" si="182"/>
        <v>1</v>
      </c>
      <c r="W75" s="225">
        <f t="shared" si="182"/>
        <v>1</v>
      </c>
      <c r="X75" s="145">
        <f t="shared" si="184"/>
        <v>1</v>
      </c>
      <c r="Y75" s="145">
        <v>6.78</v>
      </c>
      <c r="Z75" s="145">
        <v>6.96</v>
      </c>
      <c r="AA75" s="145">
        <v>6.96</v>
      </c>
      <c r="AB75" s="145">
        <v>6.99</v>
      </c>
      <c r="AC75" s="145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5">
        <f t="shared" si="185"/>
        <v>1</v>
      </c>
      <c r="BE75" s="145">
        <v>4.42</v>
      </c>
      <c r="BF75" s="145">
        <v>4.4800000000000004</v>
      </c>
      <c r="BG75" s="145">
        <v>4.4800000000000004</v>
      </c>
      <c r="BH75" s="145">
        <v>4.5</v>
      </c>
      <c r="BI75" s="145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5">
        <f t="shared" si="186"/>
        <v>1</v>
      </c>
      <c r="CK75" s="145">
        <v>4.71</v>
      </c>
      <c r="CL75" s="145">
        <v>4.7699999999999996</v>
      </c>
      <c r="CM75" s="145">
        <v>4.7699999999999996</v>
      </c>
      <c r="CN75" s="145">
        <v>4.79</v>
      </c>
      <c r="CO75" s="145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5">
        <f t="shared" si="187"/>
        <v>1</v>
      </c>
      <c r="DQ75" s="145">
        <v>5.71</v>
      </c>
      <c r="DR75" s="145">
        <v>5.86</v>
      </c>
      <c r="DS75" s="145">
        <v>5.86</v>
      </c>
      <c r="DT75" s="145">
        <v>5.88</v>
      </c>
      <c r="DU75" s="145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5">
        <f t="shared" si="188"/>
        <v>1</v>
      </c>
      <c r="EW75" s="145">
        <v>5.4</v>
      </c>
      <c r="EX75" s="145">
        <v>5.49</v>
      </c>
      <c r="EY75" s="145">
        <v>5.49</v>
      </c>
      <c r="EZ75" s="145">
        <v>5.51</v>
      </c>
      <c r="FA75" s="145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5">
        <f t="shared" si="189"/>
        <v>1</v>
      </c>
      <c r="GC75" s="145">
        <v>13.94</v>
      </c>
      <c r="GD75" s="145">
        <v>14.3</v>
      </c>
      <c r="GE75" s="145">
        <v>14.3</v>
      </c>
      <c r="GF75" s="145">
        <v>14.36</v>
      </c>
      <c r="GG75" s="145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3">
        <v>1</v>
      </c>
      <c r="HI75" s="218">
        <v>1.0900000000000001</v>
      </c>
      <c r="HJ75" s="229">
        <v>1.0900000000000001</v>
      </c>
      <c r="HK75" s="229">
        <v>1.0900000000000001</v>
      </c>
      <c r="HM75" s="373">
        <f t="shared" si="190"/>
        <v>1</v>
      </c>
      <c r="HN75" s="145">
        <v>1</v>
      </c>
    </row>
    <row r="76" spans="1:240" hidden="1" x14ac:dyDescent="0.2">
      <c r="A76" s="373">
        <f t="shared" si="183"/>
        <v>72</v>
      </c>
      <c r="B76" s="149" t="s">
        <v>1254</v>
      </c>
      <c r="C76" s="150">
        <v>1.1859999999999999</v>
      </c>
      <c r="D76" s="150">
        <v>1.1970000000000001</v>
      </c>
      <c r="E76" s="150">
        <v>1.181</v>
      </c>
      <c r="F76" s="150">
        <v>1.073</v>
      </c>
      <c r="G76" s="150"/>
      <c r="H76" s="226">
        <f ca="1">OFFSET($HH76,0,'Расчет стоимости'!$M$10,1,1)</f>
        <v>1.0900000000000001</v>
      </c>
      <c r="I76" s="150">
        <v>1</v>
      </c>
      <c r="J76" s="150">
        <v>1</v>
      </c>
      <c r="K76" s="149">
        <v>1</v>
      </c>
      <c r="L76" s="149">
        <v>1</v>
      </c>
      <c r="M76" s="372">
        <v>4.2999999999999997E-2</v>
      </c>
      <c r="N76" s="145">
        <v>3.7000000000000005E-2</v>
      </c>
      <c r="O76" s="145">
        <v>1.7000000000000001E-2</v>
      </c>
      <c r="P76" s="145">
        <v>5.5E-2</v>
      </c>
      <c r="Q76" s="145">
        <v>4.0000000000000001E-3</v>
      </c>
      <c r="R76" s="152" t="s">
        <v>242</v>
      </c>
      <c r="T76" s="225">
        <f t="shared" si="182"/>
        <v>0.91200000000000003</v>
      </c>
      <c r="U76" s="225">
        <f t="shared" si="182"/>
        <v>0.91200000000000003</v>
      </c>
      <c r="V76" s="225">
        <f t="shared" si="182"/>
        <v>0.91200000000000003</v>
      </c>
      <c r="W76" s="225">
        <f t="shared" si="182"/>
        <v>0.91200000000000003</v>
      </c>
      <c r="X76" s="145">
        <f t="shared" si="184"/>
        <v>1</v>
      </c>
      <c r="Y76" s="145">
        <v>5.67</v>
      </c>
      <c r="Z76" s="145">
        <v>5.74</v>
      </c>
      <c r="AA76" s="145">
        <v>5.74</v>
      </c>
      <c r="AB76" s="145">
        <v>5.76</v>
      </c>
      <c r="AC76" s="145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5">
        <f t="shared" si="185"/>
        <v>1</v>
      </c>
      <c r="BE76" s="145">
        <v>3.66</v>
      </c>
      <c r="BF76" s="145">
        <v>3.76</v>
      </c>
      <c r="BG76" s="145">
        <v>3.76</v>
      </c>
      <c r="BH76" s="145">
        <v>3.78</v>
      </c>
      <c r="BI76" s="145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5">
        <f t="shared" si="186"/>
        <v>1</v>
      </c>
      <c r="CK76" s="145">
        <v>3.74</v>
      </c>
      <c r="CL76" s="145">
        <v>3.8</v>
      </c>
      <c r="CM76" s="145">
        <v>3.8</v>
      </c>
      <c r="CN76" s="145">
        <v>3.82</v>
      </c>
      <c r="CO76" s="145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5">
        <f t="shared" si="187"/>
        <v>1</v>
      </c>
      <c r="DQ76" s="145">
        <v>4.5</v>
      </c>
      <c r="DR76" s="145">
        <v>4.62</v>
      </c>
      <c r="DS76" s="145">
        <v>4.62</v>
      </c>
      <c r="DT76" s="145">
        <v>4.6399999999999997</v>
      </c>
      <c r="DU76" s="145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5">
        <f t="shared" si="188"/>
        <v>1</v>
      </c>
      <c r="EW76" s="145">
        <v>4.08</v>
      </c>
      <c r="EX76" s="145">
        <v>4.13</v>
      </c>
      <c r="EY76" s="145">
        <v>4.13</v>
      </c>
      <c r="EZ76" s="145">
        <v>4.1500000000000004</v>
      </c>
      <c r="FA76" s="145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5">
        <f t="shared" si="189"/>
        <v>1</v>
      </c>
      <c r="GC76" s="145">
        <v>10.94</v>
      </c>
      <c r="GD76" s="145">
        <v>11.15</v>
      </c>
      <c r="GE76" s="145">
        <v>11.15</v>
      </c>
      <c r="GF76" s="145">
        <v>11.19</v>
      </c>
      <c r="GG76" s="145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3">
        <v>1</v>
      </c>
      <c r="HI76" s="218">
        <v>1.0900000000000001</v>
      </c>
      <c r="HJ76" s="229">
        <v>1.0900000000000001</v>
      </c>
      <c r="HK76" s="229">
        <v>1.0900000000000001</v>
      </c>
      <c r="HM76" s="373">
        <f t="shared" si="190"/>
        <v>7</v>
      </c>
      <c r="HN76" s="219">
        <v>0.91200000000000003</v>
      </c>
      <c r="HO76" s="219">
        <v>0.92500000000000004</v>
      </c>
      <c r="HP76" s="219">
        <v>0.96199999999999997</v>
      </c>
      <c r="HQ76" s="219">
        <v>1</v>
      </c>
      <c r="HR76" s="219">
        <v>0.996</v>
      </c>
      <c r="HS76" s="219">
        <v>0.996</v>
      </c>
      <c r="HT76" s="219">
        <v>0.996</v>
      </c>
    </row>
    <row r="77" spans="1:240" hidden="1" x14ac:dyDescent="0.2">
      <c r="A77" s="373">
        <f t="shared" si="183"/>
        <v>73</v>
      </c>
      <c r="B77" s="149" t="s">
        <v>165</v>
      </c>
      <c r="C77" s="150">
        <v>1.26</v>
      </c>
      <c r="D77" s="150">
        <v>1.409</v>
      </c>
      <c r="E77" s="150">
        <v>0.79</v>
      </c>
      <c r="F77" s="150">
        <v>1.05</v>
      </c>
      <c r="G77" s="150"/>
      <c r="H77" s="226">
        <f ca="1">OFFSET($HH77,0,'Расчет стоимости'!$M$10,1,1)</f>
        <v>1.0900000000000001</v>
      </c>
      <c r="I77" s="150">
        <v>1</v>
      </c>
      <c r="J77" s="150">
        <v>1</v>
      </c>
      <c r="K77" s="149">
        <v>1</v>
      </c>
      <c r="L77" s="149">
        <v>1</v>
      </c>
      <c r="M77" s="372">
        <v>4.2999999999999997E-2</v>
      </c>
      <c r="N77" s="145">
        <v>3.7000000000000005E-2</v>
      </c>
      <c r="O77" s="145">
        <v>1.7000000000000001E-2</v>
      </c>
      <c r="P77" s="145">
        <v>5.5E-2</v>
      </c>
      <c r="Q77" s="145">
        <v>4.0000000000000001E-3</v>
      </c>
      <c r="R77" s="152" t="s">
        <v>242</v>
      </c>
      <c r="T77" s="225">
        <f t="shared" si="182"/>
        <v>1</v>
      </c>
      <c r="U77" s="225">
        <f t="shared" si="182"/>
        <v>1</v>
      </c>
      <c r="V77" s="225">
        <f t="shared" si="182"/>
        <v>1</v>
      </c>
      <c r="W77" s="225">
        <f t="shared" si="182"/>
        <v>1</v>
      </c>
      <c r="X77" s="145">
        <f t="shared" si="184"/>
        <v>1</v>
      </c>
      <c r="Y77" s="145">
        <v>6.2</v>
      </c>
      <c r="Z77" s="145">
        <v>6.29</v>
      </c>
      <c r="AA77" s="145">
        <v>6.29</v>
      </c>
      <c r="AB77" s="145">
        <v>6.32</v>
      </c>
      <c r="AC77" s="145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5">
        <f t="shared" si="185"/>
        <v>1</v>
      </c>
      <c r="BE77" s="145">
        <v>3.82</v>
      </c>
      <c r="BF77" s="145">
        <v>3.92</v>
      </c>
      <c r="BG77" s="145">
        <v>3.92</v>
      </c>
      <c r="BH77" s="145">
        <v>3.81</v>
      </c>
      <c r="BI77" s="145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5">
        <f t="shared" si="186"/>
        <v>1</v>
      </c>
      <c r="CK77" s="145">
        <v>3.62</v>
      </c>
      <c r="CL77" s="145">
        <v>3.71</v>
      </c>
      <c r="CM77" s="145">
        <v>3.71</v>
      </c>
      <c r="CN77" s="145">
        <v>3.72</v>
      </c>
      <c r="CO77" s="145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5">
        <f t="shared" si="187"/>
        <v>1</v>
      </c>
      <c r="DQ77" s="145">
        <v>4.59</v>
      </c>
      <c r="DR77" s="145">
        <v>4.72</v>
      </c>
      <c r="DS77" s="145">
        <v>4.72</v>
      </c>
      <c r="DT77" s="145">
        <v>4.74</v>
      </c>
      <c r="DU77" s="145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5">
        <f t="shared" si="188"/>
        <v>1</v>
      </c>
      <c r="EW77" s="145">
        <v>4.17</v>
      </c>
      <c r="EX77" s="145">
        <v>4.28</v>
      </c>
      <c r="EY77" s="145">
        <v>4.28</v>
      </c>
      <c r="EZ77" s="145">
        <v>4.3</v>
      </c>
      <c r="FA77" s="145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5">
        <f t="shared" si="189"/>
        <v>1</v>
      </c>
      <c r="GC77" s="145">
        <v>11.05</v>
      </c>
      <c r="GD77" s="145">
        <v>11.34</v>
      </c>
      <c r="GE77" s="145">
        <v>11.34</v>
      </c>
      <c r="GF77" s="145">
        <v>11.39</v>
      </c>
      <c r="GG77" s="145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3">
        <v>1</v>
      </c>
      <c r="HI77" s="218">
        <v>1.0900000000000001</v>
      </c>
      <c r="HJ77" s="229">
        <v>1.0900000000000001</v>
      </c>
      <c r="HK77" s="229">
        <v>1.0900000000000001</v>
      </c>
      <c r="HM77" s="373">
        <f t="shared" si="190"/>
        <v>1</v>
      </c>
      <c r="HN77" s="145">
        <f>HN76/$HN$76</f>
        <v>1</v>
      </c>
    </row>
    <row r="78" spans="1:240" hidden="1" x14ac:dyDescent="0.2">
      <c r="A78" s="373">
        <f t="shared" si="183"/>
        <v>74</v>
      </c>
      <c r="B78" s="149" t="s">
        <v>292</v>
      </c>
      <c r="C78" s="150">
        <v>1.2</v>
      </c>
      <c r="D78" s="150">
        <v>1.1399999999999999</v>
      </c>
      <c r="E78" s="150">
        <v>1.409</v>
      </c>
      <c r="F78" s="150">
        <v>1.139</v>
      </c>
      <c r="G78" s="150"/>
      <c r="H78" s="226">
        <f ca="1">OFFSET($HH78,0,'Расчет стоимости'!$M$10,1,1)</f>
        <v>1.0900000000000001</v>
      </c>
      <c r="I78" s="150">
        <v>1</v>
      </c>
      <c r="J78" s="150">
        <v>1</v>
      </c>
      <c r="K78" s="149">
        <v>1</v>
      </c>
      <c r="L78" s="149">
        <v>1</v>
      </c>
      <c r="M78" s="372">
        <v>4.2999999999999997E-2</v>
      </c>
      <c r="N78" s="145">
        <v>3.7000000000000005E-2</v>
      </c>
      <c r="O78" s="145">
        <v>1.7000000000000001E-2</v>
      </c>
      <c r="P78" s="145">
        <v>5.5E-2</v>
      </c>
      <c r="Q78" s="145">
        <v>4.0000000000000001E-3</v>
      </c>
      <c r="R78" s="152" t="s">
        <v>242</v>
      </c>
      <c r="S78" s="145" t="s">
        <v>266</v>
      </c>
      <c r="T78" s="225">
        <f t="shared" si="182"/>
        <v>1</v>
      </c>
      <c r="U78" s="225">
        <f t="shared" si="182"/>
        <v>1</v>
      </c>
      <c r="V78" s="225">
        <f t="shared" si="182"/>
        <v>1</v>
      </c>
      <c r="W78" s="225">
        <f t="shared" si="182"/>
        <v>1</v>
      </c>
      <c r="X78" s="145">
        <f t="shared" si="184"/>
        <v>1</v>
      </c>
      <c r="Y78" s="145">
        <v>6.41</v>
      </c>
      <c r="Z78" s="145">
        <v>6.48</v>
      </c>
      <c r="AA78" s="145">
        <v>6.48</v>
      </c>
      <c r="AB78" s="145">
        <v>6.51</v>
      </c>
      <c r="AC78" s="145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5">
        <f t="shared" si="185"/>
        <v>1</v>
      </c>
      <c r="BE78" s="145">
        <v>4.74</v>
      </c>
      <c r="BF78" s="145">
        <v>4.74</v>
      </c>
      <c r="BG78" s="145">
        <v>4.74</v>
      </c>
      <c r="BH78" s="145">
        <v>4.76</v>
      </c>
      <c r="BI78" s="145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5">
        <f t="shared" si="186"/>
        <v>1</v>
      </c>
      <c r="CK78" s="145">
        <v>4.3899999999999997</v>
      </c>
      <c r="CL78" s="145">
        <v>4.38</v>
      </c>
      <c r="CM78" s="145">
        <v>4.38</v>
      </c>
      <c r="CN78" s="145">
        <v>4.4000000000000004</v>
      </c>
      <c r="CO78" s="145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5">
        <f t="shared" si="187"/>
        <v>1</v>
      </c>
      <c r="DQ78" s="145">
        <v>5.55</v>
      </c>
      <c r="DR78" s="145">
        <v>5.65</v>
      </c>
      <c r="DS78" s="145">
        <v>5.65</v>
      </c>
      <c r="DT78" s="145">
        <v>5.67</v>
      </c>
      <c r="DU78" s="145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5">
        <f t="shared" si="188"/>
        <v>1</v>
      </c>
      <c r="EW78" s="145">
        <v>4.68</v>
      </c>
      <c r="EX78" s="145">
        <v>4.7300000000000004</v>
      </c>
      <c r="EY78" s="145">
        <v>4.7300000000000004</v>
      </c>
      <c r="EZ78" s="145">
        <v>4.75</v>
      </c>
      <c r="FA78" s="145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5">
        <f t="shared" si="189"/>
        <v>1</v>
      </c>
      <c r="GC78" s="145">
        <v>12.91</v>
      </c>
      <c r="GD78" s="145">
        <v>13.25</v>
      </c>
      <c r="GE78" s="145">
        <v>13.25</v>
      </c>
      <c r="GF78" s="145">
        <v>13.3</v>
      </c>
      <c r="GG78" s="145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3">
        <v>2</v>
      </c>
      <c r="HI78" s="218">
        <v>1.0900000000000001</v>
      </c>
      <c r="HJ78" s="41">
        <v>1.19</v>
      </c>
      <c r="HK78" s="41">
        <v>1.19</v>
      </c>
      <c r="HM78" s="373">
        <f t="shared" si="190"/>
        <v>19</v>
      </c>
      <c r="HN78" s="145">
        <v>1</v>
      </c>
      <c r="HO78" s="219">
        <v>1.37</v>
      </c>
      <c r="HP78" s="219">
        <v>1.1200000000000001</v>
      </c>
      <c r="HQ78" s="219">
        <v>1.34</v>
      </c>
      <c r="HR78" s="219">
        <v>1.25</v>
      </c>
      <c r="HS78" s="219">
        <v>1.1299999999999999</v>
      </c>
      <c r="HT78" s="219">
        <v>1.39</v>
      </c>
      <c r="HU78" s="219">
        <v>1.1299999999999999</v>
      </c>
      <c r="HV78" s="219">
        <v>1.25</v>
      </c>
      <c r="HW78" s="219">
        <v>1.24</v>
      </c>
      <c r="HX78" s="219">
        <v>1.25</v>
      </c>
      <c r="HY78" s="219">
        <v>1.29</v>
      </c>
      <c r="HZ78" s="219">
        <v>1.1000000000000001</v>
      </c>
      <c r="IA78" s="219">
        <v>1.3</v>
      </c>
      <c r="IB78" s="219">
        <v>1.0900000000000001</v>
      </c>
      <c r="IC78" s="219">
        <v>1.37</v>
      </c>
      <c r="ID78" s="219">
        <v>1.1399999999999999</v>
      </c>
      <c r="IE78" s="219">
        <v>1.61</v>
      </c>
      <c r="IF78" s="219">
        <v>1.29</v>
      </c>
    </row>
    <row r="79" spans="1:240" ht="12.75" hidden="1" customHeight="1" x14ac:dyDescent="0.2">
      <c r="A79" s="373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6">
        <f ca="1">OFFSET($HH79,0,'Расчет стоимости'!$M$10,1,1)</f>
        <v>1.0900000000000001</v>
      </c>
      <c r="I79" s="150">
        <v>1</v>
      </c>
      <c r="J79" s="150">
        <v>1</v>
      </c>
      <c r="K79" s="149">
        <v>1</v>
      </c>
      <c r="L79" s="149">
        <v>1</v>
      </c>
      <c r="M79" s="372">
        <v>4.2999999999999997E-2</v>
      </c>
      <c r="N79" s="145">
        <v>3.7000000000000005E-2</v>
      </c>
      <c r="O79" s="145">
        <v>1.7000000000000001E-2</v>
      </c>
      <c r="P79" s="145">
        <v>5.5E-2</v>
      </c>
      <c r="Q79" s="145">
        <v>4.0000000000000001E-3</v>
      </c>
      <c r="R79" s="152" t="s">
        <v>242</v>
      </c>
      <c r="S79" s="145" t="s">
        <v>266</v>
      </c>
      <c r="T79" s="225">
        <f t="shared" si="182"/>
        <v>1</v>
      </c>
      <c r="U79" s="225">
        <f t="shared" si="182"/>
        <v>1</v>
      </c>
      <c r="V79" s="225">
        <f t="shared" si="182"/>
        <v>1</v>
      </c>
      <c r="W79" s="225">
        <f t="shared" si="182"/>
        <v>1</v>
      </c>
      <c r="X79" s="145">
        <f t="shared" si="184"/>
        <v>1</v>
      </c>
      <c r="Y79" s="145">
        <v>6.3</v>
      </c>
      <c r="Z79" s="145">
        <v>6.46</v>
      </c>
      <c r="AA79" s="145">
        <v>6.46</v>
      </c>
      <c r="AB79" s="145">
        <v>6.49</v>
      </c>
      <c r="AC79" s="145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5">
        <f t="shared" si="185"/>
        <v>1</v>
      </c>
      <c r="BE79" s="145">
        <v>4.08</v>
      </c>
      <c r="BF79" s="145">
        <v>4.16</v>
      </c>
      <c r="BG79" s="145">
        <v>4.16</v>
      </c>
      <c r="BH79" s="145">
        <v>4.18</v>
      </c>
      <c r="BI79" s="145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5">
        <f t="shared" si="186"/>
        <v>1</v>
      </c>
      <c r="CK79" s="145">
        <v>4.32</v>
      </c>
      <c r="CL79" s="145">
        <v>4.42</v>
      </c>
      <c r="CM79" s="145">
        <v>4.42</v>
      </c>
      <c r="CN79" s="145">
        <v>4.4400000000000004</v>
      </c>
      <c r="CO79" s="145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5">
        <f t="shared" si="187"/>
        <v>1</v>
      </c>
      <c r="DQ79" s="145">
        <v>4.7</v>
      </c>
      <c r="DR79" s="145">
        <v>4.83</v>
      </c>
      <c r="DS79" s="145">
        <v>4.83</v>
      </c>
      <c r="DT79" s="145">
        <v>4.8499999999999996</v>
      </c>
      <c r="DU79" s="145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5">
        <f t="shared" si="188"/>
        <v>1</v>
      </c>
      <c r="EW79" s="145">
        <v>4.45</v>
      </c>
      <c r="EX79" s="145">
        <v>4.57</v>
      </c>
      <c r="EY79" s="145">
        <v>4.57</v>
      </c>
      <c r="EZ79" s="145">
        <v>4.59</v>
      </c>
      <c r="FA79" s="145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5">
        <f t="shared" si="189"/>
        <v>1</v>
      </c>
      <c r="GC79" s="145">
        <v>11.78</v>
      </c>
      <c r="GD79" s="145">
        <v>12.09</v>
      </c>
      <c r="GE79" s="145">
        <v>12.09</v>
      </c>
      <c r="GF79" s="145">
        <v>12.14</v>
      </c>
      <c r="GG79" s="145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3">
        <v>1</v>
      </c>
      <c r="HI79" s="218">
        <v>1.0900000000000001</v>
      </c>
      <c r="HJ79" s="229">
        <v>1.0900000000000001</v>
      </c>
      <c r="HK79" s="229">
        <v>1.0900000000000001</v>
      </c>
      <c r="HM79" s="373">
        <f t="shared" si="190"/>
        <v>3</v>
      </c>
      <c r="HN79" s="145">
        <v>1</v>
      </c>
      <c r="HO79" s="145">
        <v>1.018</v>
      </c>
      <c r="HP79" s="145">
        <v>1.0289999999999999</v>
      </c>
    </row>
    <row r="80" spans="1:240" ht="12.75" hidden="1" customHeight="1" x14ac:dyDescent="0.2">
      <c r="A80" s="373">
        <f t="shared" si="183"/>
        <v>76</v>
      </c>
      <c r="B80" s="149" t="s">
        <v>1324</v>
      </c>
      <c r="C80" s="150">
        <v>2.02</v>
      </c>
      <c r="D80" s="150">
        <v>1.746</v>
      </c>
      <c r="E80" s="150">
        <v>3.0329999999999999</v>
      </c>
      <c r="F80" s="150">
        <v>1.796</v>
      </c>
      <c r="G80" s="150"/>
      <c r="H80" s="226">
        <f ca="1">OFFSET($HH80,0,'Расчет стоимости'!$M$10,1,1)</f>
        <v>1.0900000000000001</v>
      </c>
      <c r="I80" s="150">
        <f t="shared" ref="I80" si="197">IF(I$5="II",1.1,IF(OR(I$5="III",I$5="IV"),1.2,1))</f>
        <v>1</v>
      </c>
      <c r="J80" s="150">
        <f t="shared" ref="J80" si="198">IF(J$5="II",1.1,IF(OR(J$5="III",J$5="IV"),1.2,1))</f>
        <v>1</v>
      </c>
      <c r="K80" s="150">
        <f t="shared" ref="K80:L80" si="199">IF(K$5="II",1.1,IF(OR(K$5="III",K$5="IV"),1.2,1))</f>
        <v>1</v>
      </c>
      <c r="L80" s="150">
        <f t="shared" si="199"/>
        <v>1</v>
      </c>
      <c r="M80" s="372">
        <v>7.0000000000000007E-2</v>
      </c>
      <c r="N80" s="145">
        <v>6.0999999999999999E-2</v>
      </c>
      <c r="O80" s="145">
        <v>2.7000000000000003E-2</v>
      </c>
      <c r="P80" s="145">
        <v>9.3000000000000013E-2</v>
      </c>
      <c r="Q80" s="145">
        <v>6.0000000000000001E-3</v>
      </c>
      <c r="R80" s="153" t="s">
        <v>243</v>
      </c>
      <c r="S80" s="145" t="s">
        <v>265</v>
      </c>
      <c r="T80" s="225">
        <f t="shared" si="182"/>
        <v>1</v>
      </c>
      <c r="U80" s="225">
        <f t="shared" si="182"/>
        <v>1</v>
      </c>
      <c r="V80" s="225">
        <f t="shared" si="182"/>
        <v>1</v>
      </c>
      <c r="W80" s="225">
        <f t="shared" si="182"/>
        <v>1</v>
      </c>
      <c r="X80" s="145">
        <f t="shared" si="184"/>
        <v>1</v>
      </c>
      <c r="Y80" s="145">
        <v>10.06</v>
      </c>
      <c r="Z80" s="145">
        <f>10.32</f>
        <v>10.32</v>
      </c>
      <c r="AA80" s="145">
        <v>10.32</v>
      </c>
      <c r="AB80" s="145">
        <v>10.36</v>
      </c>
      <c r="AC80" s="145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5">
        <f t="shared" si="185"/>
        <v>1</v>
      </c>
      <c r="BE80" s="145">
        <v>6.03</v>
      </c>
      <c r="BF80" s="145">
        <f>6.19</f>
        <v>6.19</v>
      </c>
      <c r="BG80" s="145">
        <v>6.19</v>
      </c>
      <c r="BH80" s="145">
        <v>6.21</v>
      </c>
      <c r="BI80" s="145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5">
        <f t="shared" si="186"/>
        <v>1</v>
      </c>
      <c r="CK80" s="145">
        <v>6.6</v>
      </c>
      <c r="CL80" s="145">
        <v>6.77</v>
      </c>
      <c r="CM80" s="145">
        <v>6.77</v>
      </c>
      <c r="CN80" s="145">
        <v>6.8</v>
      </c>
      <c r="CO80" s="145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5">
        <f t="shared" si="187"/>
        <v>1</v>
      </c>
      <c r="DQ80" s="145">
        <v>7.15</v>
      </c>
      <c r="DR80" s="145">
        <v>7.33</v>
      </c>
      <c r="DS80" s="145">
        <v>7.33</v>
      </c>
      <c r="DT80" s="145">
        <v>7.36</v>
      </c>
      <c r="DU80" s="145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5">
        <f t="shared" si="188"/>
        <v>1</v>
      </c>
      <c r="EW80" s="145">
        <v>7.39</v>
      </c>
      <c r="EX80" s="145">
        <f>7.58</f>
        <v>7.58</v>
      </c>
      <c r="EY80" s="145">
        <v>7.58</v>
      </c>
      <c r="EZ80" s="145">
        <v>7.61</v>
      </c>
      <c r="FA80" s="145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5">
        <f t="shared" si="189"/>
        <v>1</v>
      </c>
      <c r="GC80" s="145">
        <v>19.850000000000001</v>
      </c>
      <c r="GD80" s="145">
        <f>20.37</f>
        <v>20.37</v>
      </c>
      <c r="GE80" s="145">
        <v>20.37</v>
      </c>
      <c r="GF80" s="145">
        <v>20.45</v>
      </c>
      <c r="GG80" s="145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3">
        <v>3</v>
      </c>
      <c r="HI80" s="218">
        <v>1.0900000000000001</v>
      </c>
      <c r="HJ80" s="41">
        <v>1.1299999999999999</v>
      </c>
      <c r="HK80" s="41">
        <v>1.22</v>
      </c>
      <c r="HM80" s="373">
        <f t="shared" si="190"/>
        <v>3</v>
      </c>
      <c r="HN80" s="145">
        <v>1</v>
      </c>
      <c r="HO80" s="145">
        <v>0.97209999999999996</v>
      </c>
      <c r="HP80" s="145">
        <v>1.2695000000000001</v>
      </c>
    </row>
    <row r="81" spans="1:235" ht="12.75" hidden="1" customHeight="1" x14ac:dyDescent="0.2">
      <c r="A81" s="373">
        <f>A80+1</f>
        <v>77</v>
      </c>
      <c r="B81" s="149" t="s">
        <v>170</v>
      </c>
      <c r="C81" s="150">
        <v>1.1559999999999999</v>
      </c>
      <c r="D81" s="150">
        <v>1.149</v>
      </c>
      <c r="E81" s="150">
        <v>1.214</v>
      </c>
      <c r="F81" s="150">
        <v>1.032</v>
      </c>
      <c r="G81" s="150"/>
      <c r="H81" s="226">
        <f ca="1">OFFSET($HH81,0,'Расчет стоимости'!$M$10,1,1)</f>
        <v>1.0900000000000001</v>
      </c>
      <c r="I81" s="150">
        <v>1</v>
      </c>
      <c r="J81" s="150">
        <v>1</v>
      </c>
      <c r="K81" s="149">
        <v>1</v>
      </c>
      <c r="L81" s="149">
        <v>1</v>
      </c>
      <c r="M81" s="372">
        <v>4.2999999999999997E-2</v>
      </c>
      <c r="N81" s="145">
        <v>3.7000000000000005E-2</v>
      </c>
      <c r="O81" s="145">
        <v>1.7000000000000001E-2</v>
      </c>
      <c r="P81" s="145">
        <v>5.5E-2</v>
      </c>
      <c r="Q81" s="145">
        <v>4.0000000000000001E-3</v>
      </c>
      <c r="R81" s="152" t="s">
        <v>242</v>
      </c>
      <c r="S81" s="145" t="s">
        <v>266</v>
      </c>
      <c r="T81" s="225">
        <f t="shared" si="182"/>
        <v>1</v>
      </c>
      <c r="U81" s="225">
        <f t="shared" si="182"/>
        <v>1</v>
      </c>
      <c r="V81" s="225">
        <f t="shared" si="182"/>
        <v>1</v>
      </c>
      <c r="W81" s="225">
        <f t="shared" si="182"/>
        <v>1</v>
      </c>
      <c r="X81" s="145">
        <f t="shared" si="184"/>
        <v>1</v>
      </c>
      <c r="Y81" s="145">
        <v>6.3</v>
      </c>
      <c r="Z81" s="145">
        <f>6.46</f>
        <v>6.46</v>
      </c>
      <c r="AA81" s="145">
        <v>6.46</v>
      </c>
      <c r="AB81" s="145">
        <v>6.49</v>
      </c>
      <c r="AC81" s="145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5">
        <f t="shared" si="185"/>
        <v>1</v>
      </c>
      <c r="BE81" s="145">
        <v>3.92</v>
      </c>
      <c r="BF81" s="145">
        <v>4.0199999999999996</v>
      </c>
      <c r="BG81" s="145">
        <v>4.0199999999999996</v>
      </c>
      <c r="BH81" s="145">
        <v>4.04</v>
      </c>
      <c r="BI81" s="145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5">
        <f t="shared" si="186"/>
        <v>1</v>
      </c>
      <c r="CK81" s="145">
        <v>4.78</v>
      </c>
      <c r="CL81" s="145">
        <v>4.91</v>
      </c>
      <c r="CM81" s="145">
        <v>4.91</v>
      </c>
      <c r="CN81" s="145">
        <v>4.93</v>
      </c>
      <c r="CO81" s="145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5">
        <f t="shared" si="187"/>
        <v>1</v>
      </c>
      <c r="DQ81" s="145">
        <v>4.63</v>
      </c>
      <c r="DR81" s="145">
        <v>4.76</v>
      </c>
      <c r="DS81" s="145">
        <v>4.76</v>
      </c>
      <c r="DT81" s="145">
        <v>4.78</v>
      </c>
      <c r="DU81" s="145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5">
        <f t="shared" si="188"/>
        <v>1</v>
      </c>
      <c r="EW81" s="145">
        <v>5.26</v>
      </c>
      <c r="EX81" s="145">
        <f>5.39</f>
        <v>5.39</v>
      </c>
      <c r="EY81" s="145">
        <v>5.39</v>
      </c>
      <c r="EZ81" s="145">
        <v>5.41</v>
      </c>
      <c r="FA81" s="145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5">
        <f t="shared" si="189"/>
        <v>1</v>
      </c>
      <c r="GC81" s="145">
        <v>11.86</v>
      </c>
      <c r="GD81" s="145">
        <v>12.17</v>
      </c>
      <c r="GE81" s="145">
        <v>12.17</v>
      </c>
      <c r="GF81" s="145">
        <v>12.22</v>
      </c>
      <c r="GG81" s="145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3">
        <v>1</v>
      </c>
      <c r="HI81" s="218">
        <v>1.0900000000000001</v>
      </c>
      <c r="HJ81" s="229">
        <v>1.0900000000000001</v>
      </c>
      <c r="HK81" s="229">
        <v>1.0900000000000001</v>
      </c>
      <c r="HM81" s="373">
        <f t="shared" si="190"/>
        <v>1</v>
      </c>
      <c r="HN81" s="145">
        <v>1</v>
      </c>
    </row>
    <row r="82" spans="1:235" ht="12.75" hidden="1" customHeight="1" x14ac:dyDescent="0.2">
      <c r="A82" s="373">
        <f t="shared" si="183"/>
        <v>78</v>
      </c>
      <c r="B82" s="149" t="s">
        <v>1325</v>
      </c>
      <c r="C82" s="150">
        <v>1.397</v>
      </c>
      <c r="D82" s="150">
        <v>1.4319999999999999</v>
      </c>
      <c r="E82" s="150">
        <v>1.325</v>
      </c>
      <c r="F82" s="150">
        <v>1.234</v>
      </c>
      <c r="G82" s="150"/>
      <c r="H82" s="226">
        <f ca="1">OFFSET($HH82,0,'Расчет стоимости'!$M$10,1,1)</f>
        <v>1.0900000000000001</v>
      </c>
      <c r="I82" s="150">
        <f t="shared" ref="I82" si="200">IF(OR(I$5="XII",I$5="XIII",I$5="XIV",I$5="XV"),1.6,1)</f>
        <v>1</v>
      </c>
      <c r="J82" s="150">
        <f t="shared" ref="J82" si="201">IF(OR(J$5="XII",J$5="XIII",J$5="XIV",J$5="XV"),1.6,1)</f>
        <v>1</v>
      </c>
      <c r="K82" s="150">
        <f t="shared" ref="K82:L82" si="202">IF(OR(K$5="XII",K$5="XIII",K$5="XIV",K$5="XV"),1.6,1)</f>
        <v>1</v>
      </c>
      <c r="L82" s="150">
        <f t="shared" si="202"/>
        <v>1</v>
      </c>
      <c r="M82" s="372">
        <v>4.2999999999999997E-2</v>
      </c>
      <c r="N82" s="145">
        <v>3.7000000000000005E-2</v>
      </c>
      <c r="O82" s="145">
        <v>1.7000000000000001E-2</v>
      </c>
      <c r="P82" s="145">
        <v>5.5E-2</v>
      </c>
      <c r="Q82" s="145">
        <v>4.0000000000000001E-3</v>
      </c>
      <c r="R82" s="152" t="s">
        <v>242</v>
      </c>
      <c r="S82" s="145" t="s">
        <v>266</v>
      </c>
      <c r="T82" s="225">
        <f t="shared" si="182"/>
        <v>1</v>
      </c>
      <c r="U82" s="225">
        <f t="shared" si="182"/>
        <v>1</v>
      </c>
      <c r="V82" s="225">
        <f t="shared" si="182"/>
        <v>1</v>
      </c>
      <c r="W82" s="225">
        <f t="shared" si="182"/>
        <v>1</v>
      </c>
      <c r="X82" s="145">
        <f t="shared" si="184"/>
        <v>1</v>
      </c>
      <c r="Y82" s="145">
        <v>6.95</v>
      </c>
      <c r="Z82" s="145">
        <f>7.01</f>
        <v>7.01</v>
      </c>
      <c r="AA82" s="145">
        <v>7.01</v>
      </c>
      <c r="AB82" s="145">
        <v>7.04</v>
      </c>
      <c r="AC82" s="145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5">
        <f t="shared" si="185"/>
        <v>1</v>
      </c>
      <c r="BE82" s="145">
        <v>3.92</v>
      </c>
      <c r="BF82" s="145">
        <v>3.98</v>
      </c>
      <c r="BG82" s="145">
        <v>3.98</v>
      </c>
      <c r="BH82" s="145">
        <v>4</v>
      </c>
      <c r="BI82" s="145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5">
        <f t="shared" si="186"/>
        <v>1</v>
      </c>
      <c r="CK82" s="145">
        <v>4.5599999999999996</v>
      </c>
      <c r="CL82" s="145">
        <v>4.58</v>
      </c>
      <c r="CM82" s="145">
        <v>4.58</v>
      </c>
      <c r="CN82" s="145">
        <v>4.5999999999999996</v>
      </c>
      <c r="CO82" s="145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5">
        <f t="shared" si="187"/>
        <v>1</v>
      </c>
      <c r="DQ82" s="145">
        <v>5.27</v>
      </c>
      <c r="DR82" s="145">
        <v>5.4</v>
      </c>
      <c r="DS82" s="145">
        <v>5.4</v>
      </c>
      <c r="DT82" s="145">
        <v>5.42</v>
      </c>
      <c r="DU82" s="145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5">
        <f t="shared" si="188"/>
        <v>1</v>
      </c>
      <c r="EW82" s="145">
        <v>5.33</v>
      </c>
      <c r="EX82" s="145">
        <f>5.37</f>
        <v>5.37</v>
      </c>
      <c r="EY82" s="145">
        <v>5.37</v>
      </c>
      <c r="EZ82" s="145">
        <v>5.38</v>
      </c>
      <c r="FA82" s="145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5">
        <f t="shared" si="189"/>
        <v>1</v>
      </c>
      <c r="GC82" s="145">
        <v>14.64</v>
      </c>
      <c r="GD82" s="145">
        <v>14.93</v>
      </c>
      <c r="GE82" s="145">
        <v>14.93</v>
      </c>
      <c r="GF82" s="145">
        <v>14.99</v>
      </c>
      <c r="GG82" s="145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3">
        <v>2</v>
      </c>
      <c r="HI82" s="218">
        <v>1.0900000000000001</v>
      </c>
      <c r="HJ82" s="41">
        <v>1.1299999999999999</v>
      </c>
      <c r="HK82" s="41">
        <v>1.1299999999999999</v>
      </c>
      <c r="HM82" s="373">
        <f t="shared" si="190"/>
        <v>14</v>
      </c>
      <c r="HN82" s="145">
        <v>1</v>
      </c>
      <c r="HO82" s="219">
        <v>1.02</v>
      </c>
      <c r="HP82" s="219">
        <v>1.05</v>
      </c>
      <c r="HQ82" s="219">
        <v>1.101</v>
      </c>
      <c r="HR82" s="219">
        <v>1.1100000000000001</v>
      </c>
      <c r="HS82" s="219">
        <v>1.1299999999999999</v>
      </c>
      <c r="HT82" s="219">
        <v>1.1499999999999999</v>
      </c>
      <c r="HU82" s="219">
        <v>1.18</v>
      </c>
      <c r="HV82" s="219">
        <v>1.23</v>
      </c>
      <c r="HW82" s="219">
        <v>1.18</v>
      </c>
      <c r="HX82" s="219">
        <v>1.35</v>
      </c>
      <c r="HY82" s="219">
        <v>1.83</v>
      </c>
      <c r="HZ82" s="219">
        <v>2.08</v>
      </c>
      <c r="IA82" s="219">
        <v>2.57</v>
      </c>
    </row>
    <row r="83" spans="1:235" ht="12.75" hidden="1" customHeight="1" x14ac:dyDescent="0.2">
      <c r="A83" s="373">
        <f>A82+1</f>
        <v>79</v>
      </c>
      <c r="B83" s="149" t="s">
        <v>1255</v>
      </c>
      <c r="C83" s="150">
        <v>1.1919999999999999</v>
      </c>
      <c r="D83" s="150">
        <v>1.216</v>
      </c>
      <c r="E83" s="150">
        <v>1.125</v>
      </c>
      <c r="F83" s="150">
        <v>1.1359999999999999</v>
      </c>
      <c r="G83" s="150"/>
      <c r="H83" s="226">
        <f ca="1">OFFSET($HH83,0,'Расчет стоимости'!$M$10,1,1)</f>
        <v>1.0900000000000001</v>
      </c>
      <c r="I83" s="150">
        <v>1</v>
      </c>
      <c r="J83" s="150">
        <v>1</v>
      </c>
      <c r="K83" s="149">
        <v>1</v>
      </c>
      <c r="L83" s="149">
        <v>1</v>
      </c>
      <c r="M83" s="372">
        <v>7.0000000000000007E-2</v>
      </c>
      <c r="N83" s="145">
        <v>6.0999999999999999E-2</v>
      </c>
      <c r="O83" s="145">
        <v>2.7000000000000003E-2</v>
      </c>
      <c r="P83" s="145">
        <v>9.3000000000000013E-2</v>
      </c>
      <c r="Q83" s="145">
        <v>6.0000000000000001E-3</v>
      </c>
      <c r="R83" s="152" t="s">
        <v>243</v>
      </c>
      <c r="S83" s="145" t="s">
        <v>266</v>
      </c>
      <c r="T83" s="225">
        <f t="shared" si="182"/>
        <v>1</v>
      </c>
      <c r="U83" s="225">
        <f t="shared" si="182"/>
        <v>1</v>
      </c>
      <c r="V83" s="225">
        <f t="shared" si="182"/>
        <v>1</v>
      </c>
      <c r="W83" s="225">
        <f t="shared" si="182"/>
        <v>1</v>
      </c>
      <c r="X83" s="145">
        <f t="shared" si="184"/>
        <v>1</v>
      </c>
      <c r="Y83" s="145">
        <v>6.75</v>
      </c>
      <c r="Z83" s="145">
        <v>6.93</v>
      </c>
      <c r="AA83" s="145">
        <v>6.93</v>
      </c>
      <c r="AB83" s="145">
        <v>6.96</v>
      </c>
      <c r="AC83" s="145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5">
        <f t="shared" si="185"/>
        <v>1</v>
      </c>
      <c r="BE83" s="145">
        <v>4.29</v>
      </c>
      <c r="BF83" s="145">
        <v>4.37</v>
      </c>
      <c r="BG83" s="145">
        <v>4.37</v>
      </c>
      <c r="BH83" s="145">
        <v>4.3899999999999997</v>
      </c>
      <c r="BI83" s="145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5">
        <f t="shared" si="186"/>
        <v>1</v>
      </c>
      <c r="CK83" s="145">
        <v>4.6399999999999997</v>
      </c>
      <c r="CL83" s="145">
        <v>4.7699999999999996</v>
      </c>
      <c r="CM83" s="145">
        <v>4.7699999999999996</v>
      </c>
      <c r="CN83" s="145">
        <v>4.79</v>
      </c>
      <c r="CO83" s="145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5">
        <f t="shared" si="187"/>
        <v>1</v>
      </c>
      <c r="DQ83" s="145">
        <v>4.79</v>
      </c>
      <c r="DR83" s="145">
        <v>4.93</v>
      </c>
      <c r="DS83" s="145">
        <v>4.93</v>
      </c>
      <c r="DT83" s="145">
        <v>4.9400000000000004</v>
      </c>
      <c r="DU83" s="145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5">
        <f t="shared" si="188"/>
        <v>1</v>
      </c>
      <c r="EW83" s="145">
        <v>4.88</v>
      </c>
      <c r="EX83" s="145">
        <v>5.01</v>
      </c>
      <c r="EY83" s="145">
        <v>5.01</v>
      </c>
      <c r="EZ83" s="145">
        <v>5.03</v>
      </c>
      <c r="FA83" s="145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5">
        <f t="shared" si="189"/>
        <v>1</v>
      </c>
      <c r="GC83" s="145">
        <v>13.68</v>
      </c>
      <c r="GD83" s="145">
        <v>14.04</v>
      </c>
      <c r="GE83" s="145">
        <v>14.04</v>
      </c>
      <c r="GF83" s="145">
        <v>14.1</v>
      </c>
      <c r="GG83" s="145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3">
        <v>1</v>
      </c>
      <c r="HI83" s="218">
        <v>1.0900000000000001</v>
      </c>
      <c r="HJ83" s="229">
        <v>1.0900000000000001</v>
      </c>
      <c r="HK83" s="229">
        <v>1.0900000000000001</v>
      </c>
      <c r="HM83" s="373">
        <f t="shared" si="190"/>
        <v>6</v>
      </c>
      <c r="HN83" s="145">
        <v>1</v>
      </c>
      <c r="HO83" s="219">
        <v>1.02</v>
      </c>
      <c r="HP83" s="219">
        <v>1.04</v>
      </c>
      <c r="HQ83" s="219">
        <v>1.07</v>
      </c>
      <c r="HR83" s="219">
        <v>1.1499999999999999</v>
      </c>
      <c r="HS83" s="219">
        <v>1.2</v>
      </c>
    </row>
    <row r="84" spans="1:235" ht="12.75" hidden="1" customHeight="1" x14ac:dyDescent="0.2">
      <c r="A84" s="373">
        <f t="shared" si="183"/>
        <v>80</v>
      </c>
      <c r="B84" s="149" t="s">
        <v>178</v>
      </c>
      <c r="C84" s="150">
        <v>2.6440000000000001</v>
      </c>
      <c r="D84" s="150">
        <v>2.6589999999999998</v>
      </c>
      <c r="E84" s="150">
        <v>2.7429999999999999</v>
      </c>
      <c r="F84" s="150">
        <v>2.11</v>
      </c>
      <c r="G84" s="150"/>
      <c r="H84" s="226">
        <f ca="1">OFFSET($HH84,0,'Расчет стоимости'!$M$10,1,1)</f>
        <v>1.0900000000000001</v>
      </c>
      <c r="I84" s="150">
        <f t="shared" ref="I84" si="203">IF(OR(I$5="II",I$5="III",I$5="IV",I$5="V"),1.3,1)</f>
        <v>1</v>
      </c>
      <c r="J84" s="150">
        <f t="shared" ref="J84" si="204">IF(OR(J$5="II",J$5="III",J$5="IV",J$5="V"),1.3,1)</f>
        <v>1</v>
      </c>
      <c r="K84" s="150">
        <f t="shared" ref="K84:L84" si="205">IF(OR(K$5="II",K$5="III",K$5="IV",K$5="V"),1.3,1)</f>
        <v>1</v>
      </c>
      <c r="L84" s="150">
        <f t="shared" si="205"/>
        <v>1</v>
      </c>
      <c r="M84" s="372">
        <v>3.2000000000000001E-2</v>
      </c>
      <c r="N84" s="145">
        <v>2.8999999999999998E-2</v>
      </c>
      <c r="O84" s="145">
        <v>1.3000000000000001E-2</v>
      </c>
      <c r="P84" s="145">
        <v>0.04</v>
      </c>
      <c r="Q84" s="145">
        <v>3.0000000000000001E-3</v>
      </c>
      <c r="R84" s="152" t="s">
        <v>236</v>
      </c>
      <c r="S84" s="145" t="s">
        <v>265</v>
      </c>
      <c r="T84" s="225">
        <f t="shared" si="182"/>
        <v>1</v>
      </c>
      <c r="U84" s="225">
        <f t="shared" si="182"/>
        <v>1</v>
      </c>
      <c r="V84" s="225">
        <f t="shared" si="182"/>
        <v>1</v>
      </c>
      <c r="W84" s="225">
        <f t="shared" si="182"/>
        <v>1</v>
      </c>
      <c r="X84" s="145">
        <f t="shared" si="184"/>
        <v>1</v>
      </c>
      <c r="Y84" s="145">
        <v>9.5500000000000007</v>
      </c>
      <c r="Z84" s="145">
        <f>9.71</f>
        <v>9.7100000000000009</v>
      </c>
      <c r="AA84" s="145">
        <v>9.7100000000000009</v>
      </c>
      <c r="AB84" s="145">
        <v>9.75</v>
      </c>
      <c r="AC84" s="145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5">
        <f t="shared" si="185"/>
        <v>1</v>
      </c>
      <c r="BE84" s="145">
        <v>5.29</v>
      </c>
      <c r="BF84" s="145">
        <f>5.33</f>
        <v>5.33</v>
      </c>
      <c r="BG84" s="145">
        <v>5.33</v>
      </c>
      <c r="BH84" s="145">
        <v>5.35</v>
      </c>
      <c r="BI84" s="145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5">
        <f t="shared" si="186"/>
        <v>1</v>
      </c>
      <c r="CK84" s="145">
        <v>5.65</v>
      </c>
      <c r="CL84" s="145">
        <v>5.68</v>
      </c>
      <c r="CM84" s="145">
        <v>5.68</v>
      </c>
      <c r="CN84" s="145">
        <v>5.7</v>
      </c>
      <c r="CO84" s="145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5">
        <f t="shared" si="187"/>
        <v>1</v>
      </c>
      <c r="DQ84" s="145">
        <v>7.26</v>
      </c>
      <c r="DR84" s="145">
        <v>7.38</v>
      </c>
      <c r="DS84" s="145">
        <v>7.38</v>
      </c>
      <c r="DT84" s="145">
        <v>7.41</v>
      </c>
      <c r="DU84" s="145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5">
        <f t="shared" si="188"/>
        <v>1</v>
      </c>
      <c r="EW84" s="145">
        <v>6.71</v>
      </c>
      <c r="EX84" s="145">
        <f>6.76</f>
        <v>6.76</v>
      </c>
      <c r="EY84" s="145">
        <v>6.76</v>
      </c>
      <c r="EZ84" s="145">
        <v>6.79</v>
      </c>
      <c r="FA84" s="145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5">
        <f t="shared" si="189"/>
        <v>1</v>
      </c>
      <c r="GC84" s="145">
        <v>21.71</v>
      </c>
      <c r="GD84" s="145">
        <v>22.15</v>
      </c>
      <c r="GE84" s="145">
        <v>22.15</v>
      </c>
      <c r="GF84" s="145">
        <v>22.24</v>
      </c>
      <c r="GG84" s="145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3">
        <v>2</v>
      </c>
      <c r="HI84" s="218">
        <v>1.0900000000000001</v>
      </c>
      <c r="HJ84" s="41">
        <v>1.1299999999999999</v>
      </c>
      <c r="HK84" s="41">
        <v>1.1299999999999999</v>
      </c>
      <c r="HM84" s="373">
        <f t="shared" si="190"/>
        <v>1</v>
      </c>
      <c r="HN84" s="145">
        <v>1</v>
      </c>
    </row>
    <row r="85" spans="1:235" ht="12.75" hidden="1" customHeight="1" x14ac:dyDescent="0.2">
      <c r="A85" s="373">
        <f>A84+1</f>
        <v>81</v>
      </c>
      <c r="B85" s="149" t="s">
        <v>171</v>
      </c>
      <c r="C85" s="150">
        <v>2.39</v>
      </c>
      <c r="D85" s="150">
        <v>2.508</v>
      </c>
      <c r="E85" s="150">
        <v>2.1739999999999999</v>
      </c>
      <c r="F85" s="150">
        <v>1.65</v>
      </c>
      <c r="G85" s="150"/>
      <c r="H85" s="226">
        <f ca="1">OFFSET($HH85,0,'Расчет стоимости'!$M$10,1,1)</f>
        <v>1.0900000000000001</v>
      </c>
      <c r="I85" s="150">
        <v>1</v>
      </c>
      <c r="J85" s="150">
        <v>1</v>
      </c>
      <c r="K85" s="149">
        <v>1</v>
      </c>
      <c r="L85" s="149">
        <v>1</v>
      </c>
      <c r="M85" s="372">
        <v>7.0000000000000007E-2</v>
      </c>
      <c r="N85" s="145">
        <v>6.0999999999999999E-2</v>
      </c>
      <c r="O85" s="145">
        <v>2.7000000000000003E-2</v>
      </c>
      <c r="P85" s="145">
        <v>9.3000000000000013E-2</v>
      </c>
      <c r="Q85" s="145">
        <v>6.0000000000000001E-3</v>
      </c>
      <c r="R85" s="152" t="s">
        <v>243</v>
      </c>
      <c r="S85" s="145" t="s">
        <v>265</v>
      </c>
      <c r="T85" s="225">
        <f t="shared" si="182"/>
        <v>1</v>
      </c>
      <c r="U85" s="225">
        <f t="shared" si="182"/>
        <v>1</v>
      </c>
      <c r="V85" s="225">
        <f t="shared" si="182"/>
        <v>1</v>
      </c>
      <c r="W85" s="225">
        <f t="shared" si="182"/>
        <v>1</v>
      </c>
      <c r="X85" s="145">
        <f t="shared" si="184"/>
        <v>1</v>
      </c>
      <c r="Y85" s="145">
        <v>12.15</v>
      </c>
      <c r="Z85" s="145">
        <f>12.13</f>
        <v>12.13</v>
      </c>
      <c r="AA85" s="145">
        <v>12.13</v>
      </c>
      <c r="AB85" s="145">
        <v>12.18</v>
      </c>
      <c r="AC85" s="145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5">
        <f t="shared" si="185"/>
        <v>1</v>
      </c>
      <c r="BE85" s="145">
        <v>6.69</v>
      </c>
      <c r="BF85" s="145">
        <f>6.6</f>
        <v>6.6</v>
      </c>
      <c r="BG85" s="145">
        <v>6.6</v>
      </c>
      <c r="BH85" s="145">
        <v>6.63</v>
      </c>
      <c r="BI85" s="145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5">
        <f t="shared" si="186"/>
        <v>1</v>
      </c>
      <c r="CK85" s="145">
        <v>6.22</v>
      </c>
      <c r="CL85" s="145">
        <v>6.13</v>
      </c>
      <c r="CM85" s="145">
        <v>6.13</v>
      </c>
      <c r="CN85" s="145">
        <v>6.15</v>
      </c>
      <c r="CO85" s="145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5">
        <f t="shared" si="187"/>
        <v>1</v>
      </c>
      <c r="DQ85" s="145">
        <v>8.64</v>
      </c>
      <c r="DR85" s="145">
        <v>8.64</v>
      </c>
      <c r="DS85" s="145">
        <v>8.64</v>
      </c>
      <c r="DT85" s="145">
        <v>8.67</v>
      </c>
      <c r="DU85" s="145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5">
        <f t="shared" si="188"/>
        <v>1</v>
      </c>
      <c r="EW85" s="145">
        <v>7.37</v>
      </c>
      <c r="EX85" s="145">
        <f>7.32</f>
        <v>7.32</v>
      </c>
      <c r="EY85" s="145">
        <v>7.32</v>
      </c>
      <c r="EZ85" s="145">
        <v>7.35</v>
      </c>
      <c r="FA85" s="145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5">
        <f t="shared" si="189"/>
        <v>1</v>
      </c>
      <c r="GC85" s="145">
        <v>21.85</v>
      </c>
      <c r="GD85" s="145">
        <v>21.87</v>
      </c>
      <c r="GE85" s="145">
        <v>21.87</v>
      </c>
      <c r="GF85" s="145">
        <v>21.96</v>
      </c>
      <c r="GG85" s="145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3">
        <v>2</v>
      </c>
      <c r="HI85" s="218">
        <v>1.0900000000000001</v>
      </c>
      <c r="HJ85" s="41">
        <v>1.19</v>
      </c>
      <c r="HK85" s="41">
        <v>1.19</v>
      </c>
      <c r="HM85" s="373">
        <f t="shared" si="190"/>
        <v>1</v>
      </c>
      <c r="HN85" s="145">
        <v>1</v>
      </c>
    </row>
    <row r="86" spans="1:235" ht="12.75" hidden="1" customHeight="1" x14ac:dyDescent="0.2">
      <c r="A86" s="373">
        <f t="shared" si="183"/>
        <v>82</v>
      </c>
      <c r="B86" s="149" t="s">
        <v>1256</v>
      </c>
      <c r="C86" s="150">
        <v>2.72</v>
      </c>
      <c r="D86" s="150">
        <v>2.2109999999999999</v>
      </c>
      <c r="E86" s="150">
        <v>4.7569999999999997</v>
      </c>
      <c r="F86" s="150">
        <v>1.6459999999999999</v>
      </c>
      <c r="G86" s="150"/>
      <c r="H86" s="226">
        <f ca="1">OFFSET($HH86,0,'Расчет стоимости'!$M$10,1,1)</f>
        <v>1.0900000000000001</v>
      </c>
      <c r="I86" s="150">
        <v>1</v>
      </c>
      <c r="J86" s="150">
        <v>1</v>
      </c>
      <c r="K86" s="149">
        <v>1</v>
      </c>
      <c r="L86" s="149">
        <v>1</v>
      </c>
      <c r="M86" s="372">
        <v>4.2999999999999997E-2</v>
      </c>
      <c r="N86" s="145">
        <v>3.7000000000000005E-2</v>
      </c>
      <c r="O86" s="145">
        <v>1.7000000000000001E-2</v>
      </c>
      <c r="P86" s="145">
        <v>5.5E-2</v>
      </c>
      <c r="Q86" s="145">
        <v>4.0000000000000001E-3</v>
      </c>
      <c r="R86" s="152" t="s">
        <v>242</v>
      </c>
      <c r="S86" s="145" t="s">
        <v>265</v>
      </c>
      <c r="T86" s="225">
        <f t="shared" ref="T86:W91" si="206">IF(IFERROR(HLOOKUP(T$5,$HN$5:$IQ$91,$A86,FALSE),0)=0,1,HLOOKUP(T$5,$HN$5:$IQ$91,$A86,FALSE))</f>
        <v>1</v>
      </c>
      <c r="U86" s="225">
        <f t="shared" si="206"/>
        <v>1</v>
      </c>
      <c r="V86" s="225">
        <f t="shared" si="206"/>
        <v>1</v>
      </c>
      <c r="W86" s="225">
        <f t="shared" si="206"/>
        <v>1</v>
      </c>
      <c r="X86" s="145">
        <f t="shared" si="184"/>
        <v>1</v>
      </c>
      <c r="Y86" s="145">
        <v>10.039999999999999</v>
      </c>
      <c r="Z86" s="145">
        <f>10.3</f>
        <v>10.3</v>
      </c>
      <c r="AA86" s="145">
        <v>10.3</v>
      </c>
      <c r="AB86" s="145">
        <v>10.34</v>
      </c>
      <c r="AC86" s="145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5">
        <f t="shared" si="185"/>
        <v>1</v>
      </c>
      <c r="BE86" s="145">
        <v>5.89</v>
      </c>
      <c r="BF86" s="145">
        <f>6</f>
        <v>6</v>
      </c>
      <c r="BG86" s="145">
        <v>6</v>
      </c>
      <c r="BH86" s="145">
        <v>6.02</v>
      </c>
      <c r="BI86" s="145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5">
        <f t="shared" si="186"/>
        <v>1</v>
      </c>
      <c r="CK86" s="145">
        <v>5.51</v>
      </c>
      <c r="CL86" s="145">
        <v>5.61</v>
      </c>
      <c r="CM86" s="145">
        <v>5.61</v>
      </c>
      <c r="CN86" s="145">
        <v>5.63</v>
      </c>
      <c r="CO86" s="145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5">
        <f t="shared" si="187"/>
        <v>1</v>
      </c>
      <c r="DQ86" s="145">
        <v>7.41</v>
      </c>
      <c r="DR86" s="145">
        <v>7.6</v>
      </c>
      <c r="DS86" s="145">
        <v>7.6</v>
      </c>
      <c r="DT86" s="145">
        <v>7.63</v>
      </c>
      <c r="DU86" s="145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5">
        <f t="shared" si="188"/>
        <v>1</v>
      </c>
      <c r="EW86" s="145">
        <v>6.15</v>
      </c>
      <c r="EX86" s="145">
        <f>6.31</f>
        <v>6.31</v>
      </c>
      <c r="EY86" s="145">
        <v>6.31</v>
      </c>
      <c r="EZ86" s="145">
        <v>6.34</v>
      </c>
      <c r="FA86" s="145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5">
        <f t="shared" si="189"/>
        <v>1</v>
      </c>
      <c r="GC86" s="145">
        <v>20.83</v>
      </c>
      <c r="GD86" s="145">
        <v>21.38</v>
      </c>
      <c r="GE86" s="145">
        <v>21.38</v>
      </c>
      <c r="GF86" s="145">
        <v>21.47</v>
      </c>
      <c r="GG86" s="145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3">
        <v>1</v>
      </c>
      <c r="HI86" s="218">
        <v>1.0900000000000001</v>
      </c>
      <c r="HJ86" s="229">
        <v>1.0900000000000001</v>
      </c>
      <c r="HK86" s="229">
        <v>1.0900000000000001</v>
      </c>
      <c r="HM86" s="373">
        <f t="shared" si="190"/>
        <v>1</v>
      </c>
      <c r="HN86" s="145">
        <v>1</v>
      </c>
    </row>
    <row r="87" spans="1:235" ht="12.75" hidden="1" customHeight="1" x14ac:dyDescent="0.2">
      <c r="A87" s="373">
        <f t="shared" si="183"/>
        <v>83</v>
      </c>
      <c r="B87" s="149" t="s">
        <v>172</v>
      </c>
      <c r="C87" s="150">
        <v>1.4770000000000001</v>
      </c>
      <c r="D87" s="150">
        <v>1.5469999999999999</v>
      </c>
      <c r="E87" s="150">
        <v>1.306</v>
      </c>
      <c r="F87" s="150">
        <v>1.2330000000000001</v>
      </c>
      <c r="G87" s="150"/>
      <c r="H87" s="226">
        <f ca="1">OFFSET($HH87,0,'Расчет стоимости'!$M$10,1,1)</f>
        <v>1.0900000000000001</v>
      </c>
      <c r="I87" s="150">
        <v>1</v>
      </c>
      <c r="J87" s="150">
        <v>1</v>
      </c>
      <c r="K87" s="149">
        <v>1</v>
      </c>
      <c r="L87" s="149">
        <v>1</v>
      </c>
      <c r="M87" s="372">
        <v>4.2999999999999997E-2</v>
      </c>
      <c r="N87" s="145">
        <v>3.7000000000000005E-2</v>
      </c>
      <c r="O87" s="145">
        <v>1.7000000000000001E-2</v>
      </c>
      <c r="P87" s="145">
        <v>5.5E-2</v>
      </c>
      <c r="Q87" s="145">
        <v>4.0000000000000001E-3</v>
      </c>
      <c r="R87" s="152" t="s">
        <v>242</v>
      </c>
      <c r="T87" s="225">
        <f t="shared" si="206"/>
        <v>1</v>
      </c>
      <c r="U87" s="225">
        <f t="shared" si="206"/>
        <v>1</v>
      </c>
      <c r="V87" s="225">
        <f t="shared" si="206"/>
        <v>1</v>
      </c>
      <c r="W87" s="225">
        <f t="shared" si="206"/>
        <v>1</v>
      </c>
      <c r="X87" s="145">
        <f t="shared" si="184"/>
        <v>1</v>
      </c>
      <c r="Y87" s="145">
        <v>7.21</v>
      </c>
      <c r="Z87" s="145">
        <v>7.16</v>
      </c>
      <c r="AA87" s="145">
        <v>7.16</v>
      </c>
      <c r="AB87" s="145">
        <v>7.19</v>
      </c>
      <c r="AC87" s="145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5">
        <f t="shared" si="185"/>
        <v>1</v>
      </c>
      <c r="BE87" s="145">
        <v>4.7300000000000004</v>
      </c>
      <c r="BF87" s="145">
        <v>4.82</v>
      </c>
      <c r="BG87" s="145">
        <v>4.82</v>
      </c>
      <c r="BH87" s="145">
        <v>4.84</v>
      </c>
      <c r="BI87" s="145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5">
        <f t="shared" si="186"/>
        <v>1</v>
      </c>
      <c r="CK87" s="145">
        <v>3.55</v>
      </c>
      <c r="CL87" s="145">
        <v>3.64</v>
      </c>
      <c r="CM87" s="145">
        <v>3.64</v>
      </c>
      <c r="CN87" s="145">
        <v>3.65</v>
      </c>
      <c r="CO87" s="145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5">
        <f t="shared" si="187"/>
        <v>1</v>
      </c>
      <c r="DQ87" s="145">
        <v>5.72</v>
      </c>
      <c r="DR87" s="145">
        <v>5.84</v>
      </c>
      <c r="DS87" s="145">
        <v>5.84</v>
      </c>
      <c r="DT87" s="145">
        <v>5.86</v>
      </c>
      <c r="DU87" s="145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5">
        <f t="shared" si="188"/>
        <v>1</v>
      </c>
      <c r="EW87" s="145">
        <v>3.58</v>
      </c>
      <c r="EX87" s="145">
        <v>3.67</v>
      </c>
      <c r="EY87" s="145">
        <v>3.67</v>
      </c>
      <c r="EZ87" s="145">
        <v>3.68</v>
      </c>
      <c r="FA87" s="145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5">
        <f t="shared" si="189"/>
        <v>1</v>
      </c>
      <c r="GC87" s="145">
        <v>14.01</v>
      </c>
      <c r="GD87" s="145">
        <v>13.92</v>
      </c>
      <c r="GE87" s="145">
        <v>13.92</v>
      </c>
      <c r="GF87" s="145">
        <v>13.98</v>
      </c>
      <c r="GG87" s="145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3">
        <v>1</v>
      </c>
      <c r="HI87" s="218">
        <v>1.0900000000000001</v>
      </c>
      <c r="HJ87" s="229">
        <v>1.0900000000000001</v>
      </c>
      <c r="HK87" s="229">
        <v>1.0900000000000001</v>
      </c>
      <c r="HM87" s="373">
        <f t="shared" si="190"/>
        <v>6</v>
      </c>
      <c r="HN87" s="145">
        <v>1</v>
      </c>
      <c r="HO87" s="219">
        <v>1.02</v>
      </c>
      <c r="HP87" s="219">
        <v>1.04</v>
      </c>
      <c r="HQ87" s="219">
        <v>1.06</v>
      </c>
      <c r="HR87" s="219">
        <v>1.0900000000000001</v>
      </c>
      <c r="HS87" s="219">
        <v>1.1200000000000001</v>
      </c>
    </row>
    <row r="88" spans="1:235" hidden="1" x14ac:dyDescent="0.2">
      <c r="A88" s="373">
        <f t="shared" si="183"/>
        <v>84</v>
      </c>
      <c r="B88" s="149" t="s">
        <v>180</v>
      </c>
      <c r="C88" s="150">
        <v>4.08</v>
      </c>
      <c r="H88" s="226">
        <f ca="1">OFFSET($HH88,0,'Расчет стоимости'!$M$10,1,1)</f>
        <v>1.0900000000000001</v>
      </c>
      <c r="I88" s="150">
        <v>1</v>
      </c>
      <c r="J88" s="150">
        <v>1</v>
      </c>
      <c r="K88" s="149">
        <v>1</v>
      </c>
      <c r="L88" s="149">
        <v>1</v>
      </c>
      <c r="M88" s="372">
        <v>4.2999999999999997E-2</v>
      </c>
      <c r="N88" s="145">
        <v>3.7000000000000005E-2</v>
      </c>
      <c r="O88" s="145">
        <v>1.7000000000000001E-2</v>
      </c>
      <c r="P88" s="145">
        <v>5.5E-2</v>
      </c>
      <c r="Q88" s="145">
        <v>4.0000000000000001E-3</v>
      </c>
      <c r="R88" s="372" t="s">
        <v>242</v>
      </c>
      <c r="S88" s="145" t="s">
        <v>265</v>
      </c>
      <c r="T88" s="225">
        <f t="shared" si="206"/>
        <v>1</v>
      </c>
      <c r="U88" s="225">
        <f t="shared" si="206"/>
        <v>1</v>
      </c>
      <c r="V88" s="225">
        <f t="shared" si="206"/>
        <v>1</v>
      </c>
      <c r="W88" s="225">
        <f t="shared" si="206"/>
        <v>1</v>
      </c>
      <c r="X88" s="145">
        <f t="shared" si="184"/>
        <v>1</v>
      </c>
      <c r="Y88" s="145">
        <v>14.14</v>
      </c>
      <c r="Z88" s="145">
        <f>14.4</f>
        <v>14.4</v>
      </c>
      <c r="AA88" s="145">
        <v>14.4</v>
      </c>
      <c r="AB88" s="145">
        <v>14.46</v>
      </c>
      <c r="AC88" s="145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5">
        <f t="shared" si="185"/>
        <v>1</v>
      </c>
      <c r="BE88" s="145">
        <v>6.62</v>
      </c>
      <c r="BF88" s="145">
        <f>6.8</f>
        <v>6.8</v>
      </c>
      <c r="BG88" s="145">
        <v>6.8</v>
      </c>
      <c r="BH88" s="145">
        <v>6.83</v>
      </c>
      <c r="BI88" s="145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5">
        <f t="shared" si="186"/>
        <v>1</v>
      </c>
      <c r="CK88" s="145">
        <v>6.42</v>
      </c>
      <c r="CL88" s="145">
        <v>6.59</v>
      </c>
      <c r="CM88" s="145">
        <v>6.59</v>
      </c>
      <c r="CN88" s="145">
        <v>6.62</v>
      </c>
      <c r="CO88" s="145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5">
        <f t="shared" si="187"/>
        <v>1</v>
      </c>
      <c r="DQ88" s="145">
        <v>10.43</v>
      </c>
      <c r="DR88" s="145">
        <v>10.55</v>
      </c>
      <c r="DS88" s="145">
        <v>10.55</v>
      </c>
      <c r="DT88" s="145">
        <v>10.59</v>
      </c>
      <c r="DU88" s="145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5">
        <f t="shared" si="188"/>
        <v>1</v>
      </c>
      <c r="EW88" s="145">
        <v>8.52</v>
      </c>
      <c r="EX88" s="145">
        <f>8.64</f>
        <v>8.64</v>
      </c>
      <c r="EY88" s="145">
        <v>8.64</v>
      </c>
      <c r="EZ88" s="145">
        <v>8.67</v>
      </c>
      <c r="FA88" s="145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5">
        <f t="shared" si="189"/>
        <v>1</v>
      </c>
      <c r="GC88" s="145">
        <v>26.11</v>
      </c>
      <c r="GD88" s="145">
        <f>26.8</f>
        <v>26.8</v>
      </c>
      <c r="GE88" s="145">
        <v>26.8</v>
      </c>
      <c r="GF88" s="145">
        <v>26.91</v>
      </c>
      <c r="GG88" s="145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3">
        <v>2</v>
      </c>
      <c r="HI88" s="218">
        <v>1.0900000000000001</v>
      </c>
      <c r="HJ88" s="41">
        <v>1.1299999999999999</v>
      </c>
      <c r="HK88" s="41">
        <v>1.1299999999999999</v>
      </c>
      <c r="HM88" s="373">
        <f t="shared" si="190"/>
        <v>8</v>
      </c>
      <c r="HN88" s="145">
        <v>1</v>
      </c>
      <c r="HO88" s="219">
        <v>1.04</v>
      </c>
      <c r="HP88" s="219">
        <v>1.0780000000000001</v>
      </c>
      <c r="HQ88" s="219">
        <v>1.135</v>
      </c>
      <c r="HR88" s="219">
        <v>1.1879999999999999</v>
      </c>
      <c r="HS88" s="219">
        <v>1.2410000000000001</v>
      </c>
      <c r="HT88" s="219">
        <v>1.3460000000000001</v>
      </c>
      <c r="HU88" s="219">
        <v>1.4410000000000001</v>
      </c>
    </row>
    <row r="89" spans="1:235" hidden="1" x14ac:dyDescent="0.2">
      <c r="A89" s="373">
        <f t="shared" si="183"/>
        <v>85</v>
      </c>
      <c r="B89" s="149" t="s">
        <v>321</v>
      </c>
      <c r="C89" s="150">
        <v>1</v>
      </c>
      <c r="H89" s="150">
        <v>1</v>
      </c>
      <c r="I89" s="151">
        <v>1</v>
      </c>
      <c r="J89" s="151">
        <v>1</v>
      </c>
      <c r="K89" s="151">
        <v>1</v>
      </c>
      <c r="L89" s="151">
        <v>1</v>
      </c>
      <c r="M89" s="372">
        <v>0</v>
      </c>
      <c r="N89" s="145">
        <v>0</v>
      </c>
      <c r="O89" s="145">
        <v>0</v>
      </c>
      <c r="P89" s="145">
        <v>0</v>
      </c>
      <c r="Q89" s="145">
        <v>0</v>
      </c>
      <c r="R89" s="152" t="s">
        <v>239</v>
      </c>
      <c r="T89" s="225">
        <f t="shared" si="206"/>
        <v>1</v>
      </c>
      <c r="U89" s="225">
        <f t="shared" si="206"/>
        <v>1</v>
      </c>
      <c r="V89" s="225">
        <f t="shared" si="206"/>
        <v>1</v>
      </c>
      <c r="W89" s="225">
        <f t="shared" si="206"/>
        <v>1</v>
      </c>
      <c r="X89" s="145">
        <f t="shared" si="184"/>
        <v>1</v>
      </c>
      <c r="Y89" s="145">
        <v>1</v>
      </c>
      <c r="Z89" s="145">
        <v>1</v>
      </c>
      <c r="AA89" s="145">
        <v>1</v>
      </c>
      <c r="AB89" s="145">
        <v>1</v>
      </c>
      <c r="AC89" s="145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5">
        <f t="shared" si="185"/>
        <v>1</v>
      </c>
      <c r="BE89" s="145">
        <v>1</v>
      </c>
      <c r="BF89" s="145">
        <v>1</v>
      </c>
      <c r="BG89" s="145">
        <v>1</v>
      </c>
      <c r="BH89" s="145">
        <v>1</v>
      </c>
      <c r="BI89" s="145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5">
        <f t="shared" si="186"/>
        <v>1</v>
      </c>
      <c r="CK89" s="145">
        <v>1</v>
      </c>
      <c r="CL89" s="145">
        <v>1</v>
      </c>
      <c r="CM89" s="145">
        <v>1</v>
      </c>
      <c r="CN89" s="145">
        <v>1</v>
      </c>
      <c r="CO89" s="145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5">
        <f t="shared" si="187"/>
        <v>1</v>
      </c>
      <c r="DQ89" s="145">
        <v>1</v>
      </c>
      <c r="DR89" s="145">
        <v>1</v>
      </c>
      <c r="DS89" s="145">
        <v>1</v>
      </c>
      <c r="DT89" s="145">
        <v>1</v>
      </c>
      <c r="DU89" s="145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5">
        <f t="shared" si="188"/>
        <v>1</v>
      </c>
      <c r="EW89" s="145">
        <v>1</v>
      </c>
      <c r="EX89" s="145">
        <v>1</v>
      </c>
      <c r="EY89" s="145">
        <v>1</v>
      </c>
      <c r="EZ89" s="145">
        <v>1</v>
      </c>
      <c r="FA89" s="145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5">
        <f t="shared" si="189"/>
        <v>1</v>
      </c>
      <c r="GC89" s="145">
        <v>1</v>
      </c>
      <c r="GD89" s="145">
        <v>1</v>
      </c>
      <c r="GE89" s="145">
        <v>1</v>
      </c>
      <c r="GF89" s="145">
        <v>1</v>
      </c>
      <c r="GG89" s="145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3">
        <v>1</v>
      </c>
      <c r="HI89" s="218">
        <v>1</v>
      </c>
      <c r="HJ89" s="229">
        <v>1</v>
      </c>
      <c r="HK89" s="229">
        <v>1</v>
      </c>
      <c r="HM89" s="373">
        <f t="shared" si="190"/>
        <v>1</v>
      </c>
      <c r="HN89" s="145">
        <v>1</v>
      </c>
    </row>
    <row r="90" spans="1:235" hidden="1" x14ac:dyDescent="0.2">
      <c r="A90" s="373">
        <f t="shared" si="183"/>
        <v>86</v>
      </c>
      <c r="B90" s="149" t="s">
        <v>322</v>
      </c>
      <c r="C90" s="150">
        <v>1</v>
      </c>
      <c r="H90" s="150">
        <v>1</v>
      </c>
      <c r="I90" s="151">
        <v>1</v>
      </c>
      <c r="J90" s="151">
        <v>1</v>
      </c>
      <c r="K90" s="151">
        <v>1</v>
      </c>
      <c r="L90" s="151">
        <v>1</v>
      </c>
      <c r="M90" s="372">
        <v>0</v>
      </c>
      <c r="N90" s="145">
        <v>0</v>
      </c>
      <c r="O90" s="145">
        <v>0</v>
      </c>
      <c r="P90" s="145">
        <v>0</v>
      </c>
      <c r="Q90" s="145">
        <v>0</v>
      </c>
      <c r="R90" s="152" t="s">
        <v>239</v>
      </c>
      <c r="T90" s="225">
        <f t="shared" si="206"/>
        <v>1</v>
      </c>
      <c r="U90" s="225">
        <f t="shared" si="206"/>
        <v>1</v>
      </c>
      <c r="V90" s="225">
        <f t="shared" si="206"/>
        <v>1</v>
      </c>
      <c r="W90" s="225">
        <f t="shared" si="206"/>
        <v>1</v>
      </c>
      <c r="X90" s="145">
        <f t="shared" si="184"/>
        <v>1</v>
      </c>
      <c r="Y90" s="145">
        <v>1</v>
      </c>
      <c r="Z90" s="145">
        <v>1</v>
      </c>
      <c r="AA90" s="145">
        <v>1</v>
      </c>
      <c r="AB90" s="145">
        <v>1</v>
      </c>
      <c r="AC90" s="145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5">
        <f t="shared" si="185"/>
        <v>1</v>
      </c>
      <c r="BE90" s="145">
        <v>1</v>
      </c>
      <c r="BF90" s="145">
        <v>1</v>
      </c>
      <c r="BG90" s="145">
        <v>1</v>
      </c>
      <c r="BH90" s="145">
        <v>1</v>
      </c>
      <c r="BI90" s="145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5">
        <f t="shared" si="186"/>
        <v>1</v>
      </c>
      <c r="CK90" s="145">
        <v>1</v>
      </c>
      <c r="CL90" s="145">
        <v>1</v>
      </c>
      <c r="CM90" s="145">
        <v>1</v>
      </c>
      <c r="CN90" s="145">
        <v>1</v>
      </c>
      <c r="CO90" s="145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5">
        <f t="shared" si="187"/>
        <v>1</v>
      </c>
      <c r="DQ90" s="145">
        <v>1</v>
      </c>
      <c r="DR90" s="145">
        <v>1</v>
      </c>
      <c r="DS90" s="145">
        <v>1</v>
      </c>
      <c r="DT90" s="145">
        <v>1</v>
      </c>
      <c r="DU90" s="145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5">
        <f t="shared" si="188"/>
        <v>1</v>
      </c>
      <c r="EW90" s="145">
        <v>1</v>
      </c>
      <c r="EX90" s="145">
        <v>1</v>
      </c>
      <c r="EY90" s="145">
        <v>1</v>
      </c>
      <c r="EZ90" s="145">
        <v>1</v>
      </c>
      <c r="FA90" s="145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5">
        <f t="shared" si="189"/>
        <v>1</v>
      </c>
      <c r="GC90" s="145">
        <v>1</v>
      </c>
      <c r="GD90" s="145">
        <v>1</v>
      </c>
      <c r="GE90" s="145">
        <v>1</v>
      </c>
      <c r="GF90" s="145">
        <v>1</v>
      </c>
      <c r="GG90" s="145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3">
        <v>1</v>
      </c>
      <c r="HI90" s="218">
        <v>1</v>
      </c>
      <c r="HJ90" s="229">
        <v>1</v>
      </c>
      <c r="HK90" s="229">
        <v>1</v>
      </c>
      <c r="HM90" s="373">
        <f t="shared" si="190"/>
        <v>1</v>
      </c>
      <c r="HN90" s="145">
        <v>1</v>
      </c>
    </row>
    <row r="91" spans="1:235" hidden="1" x14ac:dyDescent="0.2">
      <c r="A91" s="373">
        <f t="shared" si="183"/>
        <v>87</v>
      </c>
      <c r="B91" s="41" t="s">
        <v>1</v>
      </c>
      <c r="C91" s="41">
        <v>1</v>
      </c>
      <c r="H91" s="41">
        <v>1</v>
      </c>
      <c r="I91" s="145">
        <v>1</v>
      </c>
      <c r="J91" s="145">
        <v>1</v>
      </c>
      <c r="K91" s="145">
        <v>1</v>
      </c>
      <c r="L91" s="145">
        <v>1</v>
      </c>
      <c r="M91" s="372">
        <v>0</v>
      </c>
      <c r="N91" s="145">
        <v>0</v>
      </c>
      <c r="O91" s="145">
        <v>0</v>
      </c>
      <c r="P91" s="145">
        <v>0</v>
      </c>
      <c r="Q91" s="145">
        <v>0</v>
      </c>
      <c r="R91" s="152" t="s">
        <v>239</v>
      </c>
      <c r="T91" s="225">
        <f t="shared" si="206"/>
        <v>1</v>
      </c>
      <c r="U91" s="225">
        <f t="shared" si="206"/>
        <v>1</v>
      </c>
      <c r="V91" s="225">
        <f t="shared" si="206"/>
        <v>1</v>
      </c>
      <c r="W91" s="225">
        <f t="shared" si="206"/>
        <v>1</v>
      </c>
      <c r="X91" s="145">
        <f t="shared" si="184"/>
        <v>1</v>
      </c>
      <c r="Y91" s="145">
        <v>1</v>
      </c>
      <c r="Z91" s="145">
        <v>1</v>
      </c>
      <c r="AA91" s="145">
        <v>1</v>
      </c>
      <c r="AB91" s="145">
        <v>1</v>
      </c>
      <c r="AC91" s="145">
        <v>1</v>
      </c>
      <c r="AD91" s="145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5">
        <f t="shared" si="185"/>
        <v>1</v>
      </c>
      <c r="BE91" s="145">
        <v>1</v>
      </c>
      <c r="BF91" s="145">
        <v>1</v>
      </c>
      <c r="BG91" s="145">
        <v>1</v>
      </c>
      <c r="BH91" s="145">
        <v>1</v>
      </c>
      <c r="BI91" s="145">
        <v>1</v>
      </c>
      <c r="BJ91" s="145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5">
        <f t="shared" si="186"/>
        <v>1</v>
      </c>
      <c r="CK91" s="145">
        <v>1</v>
      </c>
      <c r="CL91" s="145">
        <v>1</v>
      </c>
      <c r="CM91" s="145">
        <v>1</v>
      </c>
      <c r="CN91" s="145">
        <v>1</v>
      </c>
      <c r="CO91" s="145">
        <v>1</v>
      </c>
      <c r="CP91" s="145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5">
        <f t="shared" si="187"/>
        <v>1</v>
      </c>
      <c r="DQ91" s="145">
        <v>1</v>
      </c>
      <c r="DR91" s="145">
        <v>1</v>
      </c>
      <c r="DS91" s="145">
        <v>1</v>
      </c>
      <c r="DT91" s="145">
        <v>1</v>
      </c>
      <c r="DU91" s="145">
        <v>1</v>
      </c>
      <c r="DV91" s="145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5">
        <f t="shared" si="188"/>
        <v>1</v>
      </c>
      <c r="EW91" s="145">
        <v>1</v>
      </c>
      <c r="EX91" s="145">
        <v>1</v>
      </c>
      <c r="EY91" s="145">
        <v>1</v>
      </c>
      <c r="EZ91" s="145">
        <v>1</v>
      </c>
      <c r="FA91" s="145">
        <v>1</v>
      </c>
      <c r="FB91" s="145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5">
        <f t="shared" si="189"/>
        <v>1</v>
      </c>
      <c r="GC91" s="145">
        <v>1</v>
      </c>
      <c r="GD91" s="145">
        <v>1</v>
      </c>
      <c r="GE91" s="145">
        <v>1</v>
      </c>
      <c r="GF91" s="145">
        <v>1</v>
      </c>
      <c r="GG91" s="145">
        <v>1</v>
      </c>
      <c r="GH91" s="145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3">
        <v>1</v>
      </c>
      <c r="HI91" s="218">
        <v>1</v>
      </c>
      <c r="HJ91" s="229">
        <v>1</v>
      </c>
      <c r="HK91" s="229">
        <v>1</v>
      </c>
      <c r="HM91" s="373">
        <f t="shared" si="190"/>
        <v>1</v>
      </c>
      <c r="HN91" s="145">
        <v>1</v>
      </c>
    </row>
    <row r="93" spans="1:235" x14ac:dyDescent="0.2">
      <c r="B93" s="146" t="s">
        <v>297</v>
      </c>
      <c r="M93" s="145">
        <v>3.9E-2</v>
      </c>
      <c r="N93" s="145">
        <v>2.5000000000000001E-2</v>
      </c>
      <c r="O93" s="145">
        <v>3.3000000000000002E-2</v>
      </c>
      <c r="P93" s="145">
        <v>5.3999999999999999E-2</v>
      </c>
    </row>
    <row r="96" spans="1:235" x14ac:dyDescent="0.2">
      <c r="B96" s="146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4" customFormat="1" ht="15" x14ac:dyDescent="0.25">
      <c r="A97" s="223"/>
      <c r="B97" s="155"/>
      <c r="C97" s="155" t="s">
        <v>183</v>
      </c>
      <c r="D97" s="155"/>
      <c r="E97" s="155" t="s">
        <v>4</v>
      </c>
      <c r="F97" s="155"/>
      <c r="G97" s="155"/>
      <c r="H97" s="155"/>
      <c r="I97" s="154" t="s">
        <v>5</v>
      </c>
      <c r="M97" s="154" t="s">
        <v>194</v>
      </c>
      <c r="N97" s="154" t="s">
        <v>256</v>
      </c>
      <c r="O97" s="154" t="s">
        <v>6</v>
      </c>
      <c r="P97" s="145"/>
      <c r="Q97" s="145"/>
      <c r="R97" s="145"/>
      <c r="S97" s="145"/>
      <c r="T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HJ97" s="155"/>
      <c r="HK97" s="155"/>
    </row>
    <row r="98" spans="1:219" s="154" customFormat="1" ht="15" x14ac:dyDescent="0.25">
      <c r="A98" s="223" t="s">
        <v>186</v>
      </c>
      <c r="B98" s="156" t="s">
        <v>251</v>
      </c>
      <c r="C98" s="155"/>
      <c r="D98" s="155"/>
      <c r="E98" s="157" t="s">
        <v>2</v>
      </c>
      <c r="F98" s="157" t="s">
        <v>185</v>
      </c>
      <c r="G98" s="157" t="s">
        <v>252</v>
      </c>
      <c r="H98" s="157"/>
      <c r="I98" s="158" t="s">
        <v>2</v>
      </c>
      <c r="J98" s="158" t="s">
        <v>185</v>
      </c>
      <c r="K98" s="158" t="s">
        <v>252</v>
      </c>
      <c r="L98" s="158"/>
      <c r="M98" s="145" t="s">
        <v>3</v>
      </c>
      <c r="N98" s="145" t="s">
        <v>308</v>
      </c>
      <c r="O98" s="158" t="s">
        <v>308</v>
      </c>
      <c r="P98" s="145"/>
      <c r="Q98" s="145"/>
      <c r="R98" s="145"/>
      <c r="S98" s="145"/>
      <c r="T98" s="145"/>
      <c r="U98" s="158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HJ98" s="155"/>
      <c r="HK98" s="155"/>
    </row>
    <row r="99" spans="1:219" s="154" customFormat="1" ht="15" x14ac:dyDescent="0.25">
      <c r="A99" s="223">
        <v>1</v>
      </c>
      <c r="B99" s="155" t="s">
        <v>31</v>
      </c>
      <c r="C99" s="41" t="s">
        <v>257</v>
      </c>
      <c r="D99" s="155"/>
      <c r="E99" s="41">
        <f t="shared" ref="E99:E130" si="207">IF($E$96=$F$96,F99,IF($E$96=$G$96,ROUND(G99/G$99,3),1))</f>
        <v>1</v>
      </c>
      <c r="F99" s="155">
        <v>1</v>
      </c>
      <c r="G99" s="155">
        <v>1.0760000000000001</v>
      </c>
      <c r="H99" s="155"/>
      <c r="I99" s="145">
        <f t="shared" ref="I99:I138" si="208">IF($E$96=$F$96,J99,IF($E$96=$G$96,ROUND(K99/K$99,3),1))</f>
        <v>1</v>
      </c>
      <c r="J99" s="154">
        <v>1</v>
      </c>
      <c r="K99" s="154">
        <v>1.052</v>
      </c>
      <c r="L99" s="159"/>
      <c r="M99" s="154">
        <v>1</v>
      </c>
      <c r="N99" s="159">
        <f>ROUND(N103/1.19,3)</f>
        <v>0.84</v>
      </c>
      <c r="O99" s="159">
        <f>ROUND(O103/1.266,3)</f>
        <v>0.79</v>
      </c>
      <c r="P99" s="145"/>
      <c r="Q99" s="145"/>
      <c r="R99" s="145"/>
      <c r="S99" s="145"/>
      <c r="T99" s="145"/>
      <c r="U99" s="159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HJ99" s="155"/>
      <c r="HK99" s="155"/>
    </row>
    <row r="100" spans="1:219" s="154" customFormat="1" ht="15" x14ac:dyDescent="0.25">
      <c r="A100" s="223">
        <f>A99+1</f>
        <v>2</v>
      </c>
      <c r="B100" s="155" t="s">
        <v>32</v>
      </c>
      <c r="C100" s="41" t="s">
        <v>229</v>
      </c>
      <c r="D100" s="155"/>
      <c r="E100" s="41">
        <f t="shared" si="207"/>
        <v>1.0549999999999999</v>
      </c>
      <c r="F100" s="160">
        <v>1.0549999999999999</v>
      </c>
      <c r="G100" s="155">
        <v>1.121</v>
      </c>
      <c r="H100" s="155"/>
      <c r="I100" s="145">
        <f t="shared" si="208"/>
        <v>1.1200000000000001</v>
      </c>
      <c r="J100" s="159">
        <f>J99+0.12</f>
        <v>1.1200000000000001</v>
      </c>
      <c r="K100" s="154">
        <v>1.121</v>
      </c>
      <c r="L100" s="159"/>
      <c r="M100" s="154">
        <v>1</v>
      </c>
      <c r="N100" s="159">
        <f>N99+0.04</f>
        <v>0.88</v>
      </c>
      <c r="O100" s="159">
        <f>ROUND(O99+0.0525,3)</f>
        <v>0.84299999999999997</v>
      </c>
      <c r="P100" s="145"/>
      <c r="Q100" s="145"/>
      <c r="R100" s="145"/>
      <c r="S100" s="145"/>
      <c r="T100" s="145"/>
      <c r="U100" s="159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HJ100" s="155"/>
      <c r="HK100" s="155"/>
    </row>
    <row r="101" spans="1:219" s="154" customFormat="1" ht="15" x14ac:dyDescent="0.25">
      <c r="A101" s="223">
        <f>A100+1</f>
        <v>3</v>
      </c>
      <c r="B101" s="155" t="s">
        <v>33</v>
      </c>
      <c r="C101" s="41" t="s">
        <v>229</v>
      </c>
      <c r="D101" s="155"/>
      <c r="E101" s="41">
        <f t="shared" si="207"/>
        <v>1.111</v>
      </c>
      <c r="F101" s="160">
        <v>1.111</v>
      </c>
      <c r="G101" s="155">
        <v>1.165</v>
      </c>
      <c r="H101" s="155"/>
      <c r="I101" s="145">
        <f t="shared" si="208"/>
        <v>1.2400000000000002</v>
      </c>
      <c r="J101" s="159">
        <f t="shared" ref="J101:J132" si="209">J100+0.12</f>
        <v>1.2400000000000002</v>
      </c>
      <c r="K101" s="154">
        <v>1.2190000000000001</v>
      </c>
      <c r="L101" s="159"/>
      <c r="M101" s="154">
        <v>1</v>
      </c>
      <c r="N101" s="159">
        <f t="shared" ref="N101:N102" si="210">N100+0.04</f>
        <v>0.92</v>
      </c>
      <c r="O101" s="159">
        <f t="shared" ref="O101:O102" si="211">ROUND(O100+0.0525,3)</f>
        <v>0.89600000000000002</v>
      </c>
      <c r="P101" s="145"/>
      <c r="Q101" s="145"/>
      <c r="R101" s="145"/>
      <c r="S101" s="145"/>
      <c r="T101" s="145"/>
      <c r="U101" s="159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HJ101" s="155"/>
      <c r="HK101" s="155"/>
    </row>
    <row r="102" spans="1:219" s="154" customFormat="1" ht="15" x14ac:dyDescent="0.25">
      <c r="A102" s="223">
        <f t="shared" ref="A102:A165" si="212">A101+1</f>
        <v>4</v>
      </c>
      <c r="B102" s="155" t="s">
        <v>34</v>
      </c>
      <c r="C102" s="41" t="s">
        <v>229</v>
      </c>
      <c r="D102" s="155"/>
      <c r="E102" s="41">
        <f t="shared" si="207"/>
        <v>1.1659999999999999</v>
      </c>
      <c r="F102" s="160">
        <v>1.1659999999999999</v>
      </c>
      <c r="G102" s="155">
        <v>1.1970000000000001</v>
      </c>
      <c r="H102" s="155"/>
      <c r="I102" s="145">
        <f t="shared" si="208"/>
        <v>1.3600000000000003</v>
      </c>
      <c r="J102" s="159">
        <f t="shared" si="209"/>
        <v>1.3600000000000003</v>
      </c>
      <c r="K102" s="154">
        <v>1.353</v>
      </c>
      <c r="L102" s="159"/>
      <c r="M102" s="154">
        <v>1</v>
      </c>
      <c r="N102" s="159">
        <f t="shared" si="210"/>
        <v>0.96000000000000008</v>
      </c>
      <c r="O102" s="159">
        <f t="shared" si="211"/>
        <v>0.94899999999999995</v>
      </c>
      <c r="P102" s="145"/>
      <c r="Q102" s="145"/>
      <c r="R102" s="145"/>
      <c r="S102" s="145"/>
      <c r="T102" s="145"/>
      <c r="U102" s="159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HJ102" s="155"/>
      <c r="HK102" s="155"/>
    </row>
    <row r="103" spans="1:219" s="154" customFormat="1" ht="15" x14ac:dyDescent="0.25">
      <c r="A103" s="223">
        <f t="shared" si="212"/>
        <v>5</v>
      </c>
      <c r="B103" s="155" t="s">
        <v>38</v>
      </c>
      <c r="C103" s="41" t="s">
        <v>229</v>
      </c>
      <c r="D103" s="155"/>
      <c r="E103" s="41">
        <f t="shared" si="207"/>
        <v>1.222</v>
      </c>
      <c r="F103" s="160">
        <v>1.222</v>
      </c>
      <c r="G103" s="155">
        <v>1.252</v>
      </c>
      <c r="H103" s="155"/>
      <c r="I103" s="145">
        <f t="shared" si="208"/>
        <v>1.4800000000000004</v>
      </c>
      <c r="J103" s="159">
        <f t="shared" si="209"/>
        <v>1.4800000000000004</v>
      </c>
      <c r="K103" s="154">
        <v>1.4630000000000001</v>
      </c>
      <c r="M103" s="154">
        <v>1</v>
      </c>
      <c r="N103" s="154">
        <v>1</v>
      </c>
      <c r="O103" s="154">
        <v>1</v>
      </c>
      <c r="P103" s="145"/>
      <c r="Q103" s="145"/>
      <c r="R103" s="145"/>
      <c r="S103" s="145"/>
      <c r="T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HJ103" s="155"/>
      <c r="HK103" s="155"/>
    </row>
    <row r="104" spans="1:219" s="154" customFormat="1" ht="15" x14ac:dyDescent="0.25">
      <c r="A104" s="223">
        <f t="shared" si="212"/>
        <v>6</v>
      </c>
      <c r="B104" s="155" t="s">
        <v>35</v>
      </c>
      <c r="C104" s="41" t="s">
        <v>229</v>
      </c>
      <c r="D104" s="155"/>
      <c r="E104" s="41">
        <f t="shared" si="207"/>
        <v>1.2769999999999999</v>
      </c>
      <c r="F104" s="160">
        <v>1.2769999999999999</v>
      </c>
      <c r="G104" s="155">
        <v>1.2929999999999999</v>
      </c>
      <c r="H104" s="155"/>
      <c r="I104" s="145">
        <f t="shared" si="208"/>
        <v>1.6000000000000005</v>
      </c>
      <c r="J104" s="159">
        <f t="shared" si="209"/>
        <v>1.6000000000000005</v>
      </c>
      <c r="K104" s="154">
        <v>1.504</v>
      </c>
      <c r="L104" s="159"/>
      <c r="M104" s="154">
        <v>1</v>
      </c>
      <c r="N104" s="159">
        <f>N103+0.046</f>
        <v>1.046</v>
      </c>
      <c r="O104" s="159">
        <f>ROUND(O103+0.0466666,3)</f>
        <v>1.0469999999999999</v>
      </c>
      <c r="P104" s="145"/>
      <c r="Q104" s="145"/>
      <c r="R104" s="145"/>
      <c r="S104" s="145"/>
      <c r="T104" s="145"/>
      <c r="U104" s="159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HJ104" s="155"/>
      <c r="HK104" s="155"/>
    </row>
    <row r="105" spans="1:219" s="154" customFormat="1" ht="15" x14ac:dyDescent="0.25">
      <c r="A105" s="223">
        <f t="shared" si="212"/>
        <v>7</v>
      </c>
      <c r="B105" s="155" t="s">
        <v>36</v>
      </c>
      <c r="C105" s="41" t="s">
        <v>229</v>
      </c>
      <c r="D105" s="155"/>
      <c r="E105" s="41">
        <f t="shared" si="207"/>
        <v>1.333</v>
      </c>
      <c r="F105" s="160">
        <v>1.333</v>
      </c>
      <c r="G105" s="155">
        <v>1.325</v>
      </c>
      <c r="H105" s="155"/>
      <c r="I105" s="145">
        <f t="shared" si="208"/>
        <v>1.7200000000000006</v>
      </c>
      <c r="J105" s="159">
        <f t="shared" si="209"/>
        <v>1.7200000000000006</v>
      </c>
      <c r="K105" s="154">
        <v>1.5389999999999999</v>
      </c>
      <c r="L105" s="159"/>
      <c r="M105" s="154">
        <v>1</v>
      </c>
      <c r="N105" s="159">
        <f t="shared" ref="N105:N112" si="213">N104+0.046</f>
        <v>1.0920000000000001</v>
      </c>
      <c r="O105" s="159">
        <f t="shared" ref="O105:O114" si="214">ROUND(O104+0.0466666,3)</f>
        <v>1.0940000000000001</v>
      </c>
      <c r="P105" s="145"/>
      <c r="Q105" s="145"/>
      <c r="R105" s="145"/>
      <c r="S105" s="145"/>
      <c r="T105" s="145"/>
      <c r="U105" s="159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HJ105" s="155"/>
      <c r="HK105" s="155"/>
    </row>
    <row r="106" spans="1:219" s="154" customFormat="1" ht="15" x14ac:dyDescent="0.25">
      <c r="A106" s="223">
        <f t="shared" si="212"/>
        <v>8</v>
      </c>
      <c r="B106" s="155" t="s">
        <v>37</v>
      </c>
      <c r="C106" s="41" t="s">
        <v>229</v>
      </c>
      <c r="D106" s="155"/>
      <c r="E106" s="41">
        <f t="shared" si="207"/>
        <v>1.3879999999999999</v>
      </c>
      <c r="F106" s="160">
        <v>1.3879999999999999</v>
      </c>
      <c r="G106" s="155">
        <v>1.3560000000000001</v>
      </c>
      <c r="H106" s="155"/>
      <c r="I106" s="145">
        <f t="shared" si="208"/>
        <v>1.8400000000000007</v>
      </c>
      <c r="J106" s="159">
        <f t="shared" si="209"/>
        <v>1.8400000000000007</v>
      </c>
      <c r="K106" s="154">
        <v>1.603</v>
      </c>
      <c r="L106" s="159"/>
      <c r="M106" s="154">
        <v>1</v>
      </c>
      <c r="N106" s="159">
        <f t="shared" si="213"/>
        <v>1.1380000000000001</v>
      </c>
      <c r="O106" s="159">
        <f t="shared" si="214"/>
        <v>1.141</v>
      </c>
      <c r="P106" s="145"/>
      <c r="Q106" s="145"/>
      <c r="R106" s="145"/>
      <c r="S106" s="145"/>
      <c r="T106" s="145"/>
      <c r="U106" s="159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HJ106" s="155"/>
      <c r="HK106" s="155"/>
    </row>
    <row r="107" spans="1:219" s="154" customFormat="1" ht="15" x14ac:dyDescent="0.25">
      <c r="A107" s="223">
        <f t="shared" si="212"/>
        <v>9</v>
      </c>
      <c r="B107" s="155" t="s">
        <v>42</v>
      </c>
      <c r="C107" s="41" t="s">
        <v>229</v>
      </c>
      <c r="D107" s="155"/>
      <c r="E107" s="41">
        <f t="shared" si="207"/>
        <v>1.444</v>
      </c>
      <c r="F107" s="160">
        <v>1.444</v>
      </c>
      <c r="G107" s="155">
        <v>1.407</v>
      </c>
      <c r="H107" s="155"/>
      <c r="I107" s="145">
        <f t="shared" si="208"/>
        <v>1.9600000000000009</v>
      </c>
      <c r="J107" s="159">
        <f t="shared" si="209"/>
        <v>1.9600000000000009</v>
      </c>
      <c r="K107" s="154">
        <v>1.6759999999999999</v>
      </c>
      <c r="L107" s="159"/>
      <c r="M107" s="154">
        <f>M103*1.186</f>
        <v>1.1859999999999999</v>
      </c>
      <c r="N107" s="159">
        <f t="shared" si="213"/>
        <v>1.1840000000000002</v>
      </c>
      <c r="O107" s="159">
        <f t="shared" si="214"/>
        <v>1.1879999999999999</v>
      </c>
      <c r="P107" s="145"/>
      <c r="Q107" s="145"/>
      <c r="R107" s="145"/>
      <c r="S107" s="145"/>
      <c r="T107" s="145"/>
      <c r="U107" s="159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HJ107" s="155"/>
      <c r="HK107" s="155"/>
    </row>
    <row r="108" spans="1:219" s="154" customFormat="1" ht="15" x14ac:dyDescent="0.25">
      <c r="A108" s="223">
        <f t="shared" si="212"/>
        <v>10</v>
      </c>
      <c r="B108" s="155" t="s">
        <v>39</v>
      </c>
      <c r="C108" s="41" t="s">
        <v>229</v>
      </c>
      <c r="D108" s="155"/>
      <c r="E108" s="41">
        <f t="shared" si="207"/>
        <v>1.4990000000000001</v>
      </c>
      <c r="F108" s="160">
        <v>1.4990000000000001</v>
      </c>
      <c r="G108" s="155">
        <v>1.431</v>
      </c>
      <c r="H108" s="155"/>
      <c r="I108" s="145">
        <f t="shared" si="208"/>
        <v>2.080000000000001</v>
      </c>
      <c r="J108" s="159">
        <f t="shared" si="209"/>
        <v>2.080000000000001</v>
      </c>
      <c r="K108" s="154">
        <v>1.7430000000000001</v>
      </c>
      <c r="L108" s="159"/>
      <c r="M108" s="154">
        <f t="shared" ref="M108:M110" si="215">M104*1.186</f>
        <v>1.1859999999999999</v>
      </c>
      <c r="N108" s="159">
        <f t="shared" si="213"/>
        <v>1.2300000000000002</v>
      </c>
      <c r="O108" s="159">
        <f t="shared" si="214"/>
        <v>1.2350000000000001</v>
      </c>
      <c r="P108" s="145"/>
      <c r="Q108" s="145"/>
      <c r="R108" s="145"/>
      <c r="S108" s="145"/>
      <c r="T108" s="145"/>
      <c r="U108" s="159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HJ108" s="155"/>
      <c r="HK108" s="155"/>
    </row>
    <row r="109" spans="1:219" s="154" customFormat="1" ht="15" x14ac:dyDescent="0.25">
      <c r="A109" s="223">
        <f t="shared" si="212"/>
        <v>11</v>
      </c>
      <c r="B109" s="155" t="s">
        <v>40</v>
      </c>
      <c r="C109" s="41" t="s">
        <v>229</v>
      </c>
      <c r="D109" s="155"/>
      <c r="E109" s="41">
        <f t="shared" si="207"/>
        <v>1.5549999999999999</v>
      </c>
      <c r="F109" s="160">
        <v>1.5549999999999999</v>
      </c>
      <c r="G109" s="155">
        <v>1.45</v>
      </c>
      <c r="H109" s="155"/>
      <c r="I109" s="145">
        <f t="shared" si="208"/>
        <v>2.2000000000000011</v>
      </c>
      <c r="J109" s="159">
        <f t="shared" si="209"/>
        <v>2.2000000000000011</v>
      </c>
      <c r="K109" s="154">
        <v>1.8</v>
      </c>
      <c r="L109" s="159"/>
      <c r="M109" s="154">
        <f t="shared" si="215"/>
        <v>1.1859999999999999</v>
      </c>
      <c r="N109" s="159">
        <f t="shared" si="213"/>
        <v>1.2760000000000002</v>
      </c>
      <c r="O109" s="159">
        <f t="shared" si="214"/>
        <v>1.282</v>
      </c>
      <c r="P109" s="145"/>
      <c r="Q109" s="145"/>
      <c r="R109" s="145"/>
      <c r="S109" s="145"/>
      <c r="T109" s="145"/>
      <c r="U109" s="159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HJ109" s="155"/>
      <c r="HK109" s="155"/>
    </row>
    <row r="110" spans="1:219" s="154" customFormat="1" ht="15" x14ac:dyDescent="0.25">
      <c r="A110" s="223">
        <f t="shared" si="212"/>
        <v>12</v>
      </c>
      <c r="B110" s="155" t="s">
        <v>41</v>
      </c>
      <c r="C110" s="41" t="s">
        <v>229</v>
      </c>
      <c r="D110" s="155"/>
      <c r="E110" s="41">
        <f t="shared" si="207"/>
        <v>1.611</v>
      </c>
      <c r="F110" s="160">
        <v>1.611</v>
      </c>
      <c r="G110" s="155">
        <v>1.4730000000000001</v>
      </c>
      <c r="H110" s="155"/>
      <c r="I110" s="145">
        <f t="shared" si="208"/>
        <v>2.3200000000000012</v>
      </c>
      <c r="J110" s="159">
        <f t="shared" si="209"/>
        <v>2.3200000000000012</v>
      </c>
      <c r="K110" s="154">
        <v>1.847</v>
      </c>
      <c r="L110" s="159"/>
      <c r="M110" s="154">
        <f t="shared" si="215"/>
        <v>1.1859999999999999</v>
      </c>
      <c r="N110" s="159">
        <f t="shared" si="213"/>
        <v>1.3220000000000003</v>
      </c>
      <c r="O110" s="159">
        <f t="shared" si="214"/>
        <v>1.329</v>
      </c>
      <c r="P110" s="145"/>
      <c r="Q110" s="145"/>
      <c r="R110" s="145"/>
      <c r="S110" s="145"/>
      <c r="T110" s="145"/>
      <c r="U110" s="159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HJ110" s="155"/>
      <c r="HK110" s="155"/>
    </row>
    <row r="111" spans="1:219" s="154" customFormat="1" ht="15" x14ac:dyDescent="0.25">
      <c r="A111" s="223">
        <f t="shared" si="212"/>
        <v>13</v>
      </c>
      <c r="B111" s="155" t="s">
        <v>46</v>
      </c>
      <c r="C111" s="41" t="s">
        <v>229</v>
      </c>
      <c r="D111" s="155"/>
      <c r="E111" s="41">
        <f t="shared" si="207"/>
        <v>1.6659999999999999</v>
      </c>
      <c r="F111" s="160">
        <v>1.6659999999999999</v>
      </c>
      <c r="G111" s="155">
        <v>1.508</v>
      </c>
      <c r="H111" s="155"/>
      <c r="I111" s="145">
        <f t="shared" si="208"/>
        <v>2.4400000000000013</v>
      </c>
      <c r="J111" s="159">
        <f t="shared" si="209"/>
        <v>2.4400000000000013</v>
      </c>
      <c r="K111" s="154">
        <v>1.8879999999999999</v>
      </c>
      <c r="L111" s="159"/>
      <c r="M111" s="154">
        <f>M107*1.151</f>
        <v>1.365086</v>
      </c>
      <c r="N111" s="159">
        <f t="shared" si="213"/>
        <v>1.3680000000000003</v>
      </c>
      <c r="O111" s="159">
        <f t="shared" si="214"/>
        <v>1.3759999999999999</v>
      </c>
      <c r="P111" s="145"/>
      <c r="Q111" s="145"/>
      <c r="R111" s="145"/>
      <c r="S111" s="145"/>
      <c r="T111" s="145"/>
      <c r="U111" s="159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HJ111" s="155"/>
      <c r="HK111" s="155"/>
    </row>
    <row r="112" spans="1:219" s="154" customFormat="1" ht="15" x14ac:dyDescent="0.25">
      <c r="A112" s="223">
        <f t="shared" si="212"/>
        <v>14</v>
      </c>
      <c r="B112" s="155" t="s">
        <v>43</v>
      </c>
      <c r="C112" s="41" t="s">
        <v>229</v>
      </c>
      <c r="D112" s="155"/>
      <c r="E112" s="41">
        <f t="shared" si="207"/>
        <v>1.7210000000000001</v>
      </c>
      <c r="F112" s="160">
        <v>1.7210000000000001</v>
      </c>
      <c r="G112" s="155">
        <v>1.5349999999999999</v>
      </c>
      <c r="H112" s="155"/>
      <c r="I112" s="145">
        <f t="shared" si="208"/>
        <v>2.5600000000000014</v>
      </c>
      <c r="J112" s="159">
        <f t="shared" si="209"/>
        <v>2.5600000000000014</v>
      </c>
      <c r="K112" s="154">
        <v>1.968</v>
      </c>
      <c r="L112" s="159"/>
      <c r="M112" s="154">
        <f t="shared" ref="M112:M114" si="216">M108*1.151</f>
        <v>1.365086</v>
      </c>
      <c r="N112" s="159">
        <f t="shared" si="213"/>
        <v>1.4140000000000004</v>
      </c>
      <c r="O112" s="159">
        <f t="shared" si="214"/>
        <v>1.423</v>
      </c>
      <c r="P112" s="145"/>
      <c r="Q112" s="145"/>
      <c r="R112" s="145"/>
      <c r="S112" s="145"/>
      <c r="T112" s="145"/>
      <c r="U112" s="159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HJ112" s="155"/>
      <c r="HK112" s="155"/>
    </row>
    <row r="113" spans="1:219" s="154" customFormat="1" ht="15" x14ac:dyDescent="0.25">
      <c r="A113" s="223">
        <f t="shared" si="212"/>
        <v>15</v>
      </c>
      <c r="B113" s="155" t="s">
        <v>44</v>
      </c>
      <c r="C113" s="41" t="s">
        <v>229</v>
      </c>
      <c r="D113" s="155"/>
      <c r="E113" s="41">
        <f t="shared" si="207"/>
        <v>1.7769999999999999</v>
      </c>
      <c r="F113" s="160">
        <v>1.7769999999999999</v>
      </c>
      <c r="G113" s="155">
        <v>1.56</v>
      </c>
      <c r="H113" s="155"/>
      <c r="I113" s="145">
        <f t="shared" si="208"/>
        <v>2.6800000000000015</v>
      </c>
      <c r="J113" s="159">
        <f t="shared" si="209"/>
        <v>2.6800000000000015</v>
      </c>
      <c r="K113" s="154">
        <v>2.0419999999999998</v>
      </c>
      <c r="L113" s="159"/>
      <c r="M113" s="154">
        <f t="shared" si="216"/>
        <v>1.365086</v>
      </c>
      <c r="N113" s="154">
        <v>1.46</v>
      </c>
      <c r="O113" s="159">
        <f t="shared" si="214"/>
        <v>1.47</v>
      </c>
      <c r="P113" s="145"/>
      <c r="Q113" s="145"/>
      <c r="R113" s="145"/>
      <c r="S113" s="145"/>
      <c r="T113" s="145"/>
      <c r="U113" s="159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HJ113" s="155"/>
      <c r="HK113" s="155"/>
    </row>
    <row r="114" spans="1:219" s="154" customFormat="1" ht="15" x14ac:dyDescent="0.25">
      <c r="A114" s="223">
        <f t="shared" si="212"/>
        <v>16</v>
      </c>
      <c r="B114" s="155" t="s">
        <v>45</v>
      </c>
      <c r="C114" s="41" t="s">
        <v>229</v>
      </c>
      <c r="D114" s="155"/>
      <c r="E114" s="41">
        <f t="shared" si="207"/>
        <v>1.833</v>
      </c>
      <c r="F114" s="160">
        <v>1.833</v>
      </c>
      <c r="G114" s="155">
        <v>1.5880000000000001</v>
      </c>
      <c r="H114" s="155"/>
      <c r="I114" s="145">
        <f t="shared" si="208"/>
        <v>2.8000000000000016</v>
      </c>
      <c r="J114" s="159">
        <f t="shared" si="209"/>
        <v>2.8000000000000016</v>
      </c>
      <c r="K114" s="154">
        <v>2.0910000000000002</v>
      </c>
      <c r="L114" s="159"/>
      <c r="M114" s="154">
        <f t="shared" si="216"/>
        <v>1.365086</v>
      </c>
      <c r="N114" s="154">
        <v>1.5</v>
      </c>
      <c r="O114" s="159">
        <f t="shared" si="214"/>
        <v>1.5169999999999999</v>
      </c>
      <c r="P114" s="145"/>
      <c r="Q114" s="145"/>
      <c r="R114" s="145"/>
      <c r="S114" s="145"/>
      <c r="T114" s="145"/>
      <c r="U114" s="159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HJ114" s="155"/>
      <c r="HK114" s="155"/>
    </row>
    <row r="115" spans="1:219" s="154" customFormat="1" ht="15" x14ac:dyDescent="0.25">
      <c r="A115" s="223">
        <f t="shared" si="212"/>
        <v>17</v>
      </c>
      <c r="B115" s="155" t="s">
        <v>47</v>
      </c>
      <c r="C115" s="41" t="s">
        <v>228</v>
      </c>
      <c r="D115" s="155"/>
      <c r="E115" s="41">
        <f t="shared" si="207"/>
        <v>1.8879999999999999</v>
      </c>
      <c r="F115" s="160">
        <v>1.8879999999999999</v>
      </c>
      <c r="G115" s="155">
        <v>1.619</v>
      </c>
      <c r="H115" s="155"/>
      <c r="I115" s="145">
        <f t="shared" si="208"/>
        <v>2.9200000000000017</v>
      </c>
      <c r="J115" s="159">
        <f t="shared" si="209"/>
        <v>2.9200000000000017</v>
      </c>
      <c r="K115" s="154">
        <v>2.177</v>
      </c>
      <c r="M115" s="154">
        <f>M111*1.12</f>
        <v>1.5288963200000001</v>
      </c>
      <c r="N115" s="154">
        <v>1.54</v>
      </c>
      <c r="O115" s="154">
        <v>1.56</v>
      </c>
      <c r="P115" s="145"/>
      <c r="Q115" s="145"/>
      <c r="R115" s="145"/>
      <c r="S115" s="145"/>
      <c r="T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HJ115" s="155"/>
      <c r="HK115" s="155"/>
    </row>
    <row r="116" spans="1:219" s="154" customFormat="1" ht="15" x14ac:dyDescent="0.25">
      <c r="A116" s="223">
        <f t="shared" si="212"/>
        <v>18</v>
      </c>
      <c r="B116" s="155" t="s">
        <v>48</v>
      </c>
      <c r="C116" s="41" t="s">
        <v>228</v>
      </c>
      <c r="D116" s="155"/>
      <c r="E116" s="41">
        <f t="shared" si="207"/>
        <v>1.944</v>
      </c>
      <c r="F116" s="160">
        <v>1.944</v>
      </c>
      <c r="G116" s="155">
        <v>1.6719999999999999</v>
      </c>
      <c r="H116" s="155"/>
      <c r="I116" s="145">
        <f t="shared" si="208"/>
        <v>3.0400000000000018</v>
      </c>
      <c r="J116" s="159">
        <f t="shared" si="209"/>
        <v>3.0400000000000018</v>
      </c>
      <c r="K116" s="154">
        <v>2.2389999999999999</v>
      </c>
      <c r="M116" s="154">
        <f t="shared" ref="M116:M118" si="217">M112*1.12</f>
        <v>1.5288963200000001</v>
      </c>
      <c r="N116" s="154">
        <v>1.6</v>
      </c>
      <c r="O116" s="154">
        <v>1.62</v>
      </c>
      <c r="P116" s="145"/>
      <c r="Q116" s="145"/>
      <c r="R116" s="145"/>
      <c r="S116" s="145"/>
      <c r="T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HJ116" s="155"/>
      <c r="HK116" s="155"/>
    </row>
    <row r="117" spans="1:219" s="154" customFormat="1" ht="15" x14ac:dyDescent="0.25">
      <c r="A117" s="223">
        <f t="shared" si="212"/>
        <v>19</v>
      </c>
      <c r="B117" s="155" t="s">
        <v>49</v>
      </c>
      <c r="C117" s="41" t="s">
        <v>227</v>
      </c>
      <c r="D117" s="155"/>
      <c r="E117" s="41">
        <f t="shared" si="207"/>
        <v>1.9990000000000001</v>
      </c>
      <c r="F117" s="160">
        <v>1.9990000000000001</v>
      </c>
      <c r="G117" s="155">
        <v>1.7070000000000001</v>
      </c>
      <c r="H117" s="155"/>
      <c r="I117" s="145">
        <f t="shared" si="208"/>
        <v>3.1600000000000019</v>
      </c>
      <c r="J117" s="159">
        <f t="shared" si="209"/>
        <v>3.1600000000000019</v>
      </c>
      <c r="K117" s="154">
        <v>2.3199999999999998</v>
      </c>
      <c r="M117" s="154">
        <f t="shared" si="217"/>
        <v>1.5288963200000001</v>
      </c>
      <c r="N117" s="154">
        <v>1.64</v>
      </c>
      <c r="O117" s="154">
        <v>1.67</v>
      </c>
      <c r="P117" s="145"/>
      <c r="Q117" s="145"/>
      <c r="R117" s="145"/>
      <c r="S117" s="145"/>
      <c r="T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HJ117" s="155"/>
      <c r="HK117" s="155"/>
    </row>
    <row r="118" spans="1:219" s="154" customFormat="1" ht="15" x14ac:dyDescent="0.25">
      <c r="A118" s="223">
        <f t="shared" si="212"/>
        <v>20</v>
      </c>
      <c r="B118" s="155" t="s">
        <v>50</v>
      </c>
      <c r="C118" s="41" t="s">
        <v>227</v>
      </c>
      <c r="D118" s="155"/>
      <c r="E118" s="41">
        <f t="shared" si="207"/>
        <v>2.0550000000000002</v>
      </c>
      <c r="F118" s="160">
        <v>2.0550000000000002</v>
      </c>
      <c r="G118" s="155">
        <v>1.7390000000000001</v>
      </c>
      <c r="H118" s="155"/>
      <c r="I118" s="145">
        <f t="shared" si="208"/>
        <v>3.280000000000002</v>
      </c>
      <c r="J118" s="159">
        <f t="shared" si="209"/>
        <v>3.280000000000002</v>
      </c>
      <c r="K118" s="154">
        <v>2.419</v>
      </c>
      <c r="M118" s="154">
        <f t="shared" si="217"/>
        <v>1.5288963200000001</v>
      </c>
      <c r="N118" s="154">
        <v>1.68</v>
      </c>
      <c r="O118" s="154">
        <v>1.71</v>
      </c>
      <c r="P118" s="145"/>
      <c r="Q118" s="145"/>
      <c r="R118" s="145"/>
      <c r="S118" s="145"/>
      <c r="T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HJ118" s="155"/>
      <c r="HK118" s="155"/>
    </row>
    <row r="119" spans="1:219" s="154" customFormat="1" ht="15" x14ac:dyDescent="0.25">
      <c r="A119" s="223">
        <f t="shared" si="212"/>
        <v>21</v>
      </c>
      <c r="B119" s="155" t="s">
        <v>51</v>
      </c>
      <c r="C119" s="41" t="s">
        <v>199</v>
      </c>
      <c r="D119" s="155"/>
      <c r="E119" s="41">
        <f t="shared" si="207"/>
        <v>2.11</v>
      </c>
      <c r="F119" s="160">
        <v>2.11</v>
      </c>
      <c r="G119" s="155">
        <v>1.792</v>
      </c>
      <c r="H119" s="155"/>
      <c r="I119" s="145">
        <f t="shared" si="208"/>
        <v>3.4000000000000021</v>
      </c>
      <c r="J119" s="159">
        <f t="shared" si="209"/>
        <v>3.4000000000000021</v>
      </c>
      <c r="K119" s="154">
        <v>2.48</v>
      </c>
      <c r="M119" s="154">
        <f>M115*1.117</f>
        <v>1.70777718944</v>
      </c>
      <c r="N119" s="154">
        <v>1.73</v>
      </c>
      <c r="O119" s="154">
        <v>1.76</v>
      </c>
      <c r="P119" s="145"/>
      <c r="Q119" s="145"/>
      <c r="R119" s="145"/>
      <c r="S119" s="145"/>
      <c r="T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HJ119" s="155"/>
      <c r="HK119" s="155"/>
    </row>
    <row r="120" spans="1:219" s="154" customFormat="1" ht="15" x14ac:dyDescent="0.25">
      <c r="A120" s="223">
        <f t="shared" si="212"/>
        <v>22</v>
      </c>
      <c r="B120" s="155" t="s">
        <v>52</v>
      </c>
      <c r="C120" s="41" t="s">
        <v>200</v>
      </c>
      <c r="D120" s="155"/>
      <c r="E120" s="41">
        <f t="shared" si="207"/>
        <v>2.1659999999999999</v>
      </c>
      <c r="F120" s="160">
        <v>2.1659999999999999</v>
      </c>
      <c r="G120" s="155">
        <v>1.8280000000000001</v>
      </c>
      <c r="H120" s="155"/>
      <c r="I120" s="145">
        <f t="shared" si="208"/>
        <v>3.5200000000000022</v>
      </c>
      <c r="J120" s="159">
        <f t="shared" si="209"/>
        <v>3.5200000000000022</v>
      </c>
      <c r="K120" s="154">
        <v>2.5430000000000001</v>
      </c>
      <c r="M120" s="154">
        <f t="shared" ref="M120:M122" si="218">M116*1.117</f>
        <v>1.70777718944</v>
      </c>
      <c r="N120" s="154">
        <v>1.81</v>
      </c>
      <c r="O120" s="154">
        <v>1.84</v>
      </c>
      <c r="P120" s="145"/>
      <c r="Q120" s="145"/>
      <c r="R120" s="145"/>
      <c r="S120" s="145"/>
      <c r="T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HJ120" s="155"/>
      <c r="HK120" s="155"/>
    </row>
    <row r="121" spans="1:219" s="154" customFormat="1" ht="15" x14ac:dyDescent="0.25">
      <c r="A121" s="223">
        <f t="shared" si="212"/>
        <v>23</v>
      </c>
      <c r="B121" s="155" t="s">
        <v>53</v>
      </c>
      <c r="C121" s="41" t="s">
        <v>201</v>
      </c>
      <c r="D121" s="155"/>
      <c r="E121" s="41">
        <f t="shared" si="207"/>
        <v>2.2210000000000001</v>
      </c>
      <c r="F121" s="160">
        <v>2.2210000000000001</v>
      </c>
      <c r="G121" s="155">
        <v>1.861</v>
      </c>
      <c r="H121" s="155"/>
      <c r="I121" s="145">
        <f t="shared" si="208"/>
        <v>3.6400000000000023</v>
      </c>
      <c r="J121" s="159">
        <f t="shared" si="209"/>
        <v>3.6400000000000023</v>
      </c>
      <c r="K121" s="154">
        <v>2.6040000000000001</v>
      </c>
      <c r="M121" s="154">
        <f t="shared" si="218"/>
        <v>1.70777718944</v>
      </c>
      <c r="N121" s="154">
        <v>1.87</v>
      </c>
      <c r="O121" s="154">
        <v>1.91</v>
      </c>
      <c r="P121" s="145"/>
      <c r="Q121" s="145"/>
      <c r="R121" s="145"/>
      <c r="S121" s="145"/>
      <c r="T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HJ121" s="155"/>
      <c r="HK121" s="155"/>
    </row>
    <row r="122" spans="1:219" s="154" customFormat="1" ht="15" x14ac:dyDescent="0.25">
      <c r="A122" s="223">
        <f t="shared" si="212"/>
        <v>24</v>
      </c>
      <c r="B122" s="155" t="s">
        <v>54</v>
      </c>
      <c r="C122" s="41" t="s">
        <v>202</v>
      </c>
      <c r="D122" s="155"/>
      <c r="E122" s="41">
        <f t="shared" si="207"/>
        <v>2.2770000000000001</v>
      </c>
      <c r="F122" s="160">
        <v>2.2770000000000001</v>
      </c>
      <c r="G122" s="155">
        <v>1.8819999999999999</v>
      </c>
      <c r="H122" s="155"/>
      <c r="I122" s="145">
        <f t="shared" si="208"/>
        <v>3.7600000000000025</v>
      </c>
      <c r="J122" s="159">
        <f t="shared" si="209"/>
        <v>3.7600000000000025</v>
      </c>
      <c r="K122" s="154">
        <v>2.67</v>
      </c>
      <c r="M122" s="154">
        <f t="shared" si="218"/>
        <v>1.70777718944</v>
      </c>
      <c r="N122" s="154">
        <v>1.93</v>
      </c>
      <c r="O122" s="154">
        <v>1.99</v>
      </c>
      <c r="P122" s="145"/>
      <c r="Q122" s="145"/>
      <c r="R122" s="145"/>
      <c r="S122" s="145"/>
      <c r="T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HJ122" s="155"/>
      <c r="HK122" s="155"/>
    </row>
    <row r="123" spans="1:219" s="154" customFormat="1" ht="15" x14ac:dyDescent="0.25">
      <c r="A123" s="223">
        <f t="shared" si="212"/>
        <v>25</v>
      </c>
      <c r="B123" s="155" t="s">
        <v>55</v>
      </c>
      <c r="C123" s="41" t="s">
        <v>203</v>
      </c>
      <c r="D123" s="155"/>
      <c r="E123" s="41">
        <f t="shared" si="207"/>
        <v>2.3319999999999999</v>
      </c>
      <c r="F123" s="160">
        <v>2.3319999999999999</v>
      </c>
      <c r="G123" s="155">
        <v>1.925</v>
      </c>
      <c r="H123" s="155"/>
      <c r="I123" s="145">
        <f t="shared" si="208"/>
        <v>3.8800000000000026</v>
      </c>
      <c r="J123" s="159">
        <f t="shared" si="209"/>
        <v>3.8800000000000026</v>
      </c>
      <c r="K123" s="154">
        <v>2.726</v>
      </c>
      <c r="M123" s="154">
        <f>M119*1.109</f>
        <v>1.89392490308896</v>
      </c>
      <c r="N123" s="154">
        <v>1.99</v>
      </c>
      <c r="O123" s="154">
        <v>2.04</v>
      </c>
      <c r="P123" s="145"/>
      <c r="Q123" s="145"/>
      <c r="R123" s="145"/>
      <c r="S123" s="145"/>
      <c r="T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HJ123" s="155"/>
      <c r="HK123" s="155"/>
    </row>
    <row r="124" spans="1:219" s="154" customFormat="1" ht="15" x14ac:dyDescent="0.25">
      <c r="A124" s="223">
        <f t="shared" si="212"/>
        <v>26</v>
      </c>
      <c r="B124" s="155" t="s">
        <v>56</v>
      </c>
      <c r="C124" s="41" t="s">
        <v>204</v>
      </c>
      <c r="D124" s="155"/>
      <c r="E124" s="41">
        <f t="shared" si="207"/>
        <v>2.3879999999999999</v>
      </c>
      <c r="F124" s="160">
        <v>2.3879999999999999</v>
      </c>
      <c r="G124" s="155">
        <v>1.9610000000000001</v>
      </c>
      <c r="H124" s="155"/>
      <c r="I124" s="145">
        <f t="shared" si="208"/>
        <v>4.0000000000000027</v>
      </c>
      <c r="J124" s="159">
        <f t="shared" si="209"/>
        <v>4.0000000000000027</v>
      </c>
      <c r="K124" s="154">
        <v>2.7829999999999999</v>
      </c>
      <c r="M124" s="154">
        <f t="shared" ref="M124:M126" si="219">M120*1.109</f>
        <v>1.89392490308896</v>
      </c>
      <c r="N124" s="154">
        <v>2.08</v>
      </c>
      <c r="O124" s="154">
        <v>2.14</v>
      </c>
      <c r="P124" s="145"/>
      <c r="Q124" s="145"/>
      <c r="R124" s="145"/>
      <c r="S124" s="145"/>
      <c r="T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HJ124" s="155"/>
      <c r="HK124" s="155"/>
    </row>
    <row r="125" spans="1:219" s="154" customFormat="1" ht="15" x14ac:dyDescent="0.25">
      <c r="A125" s="223">
        <f t="shared" si="212"/>
        <v>27</v>
      </c>
      <c r="B125" s="155" t="s">
        <v>57</v>
      </c>
      <c r="C125" s="41" t="s">
        <v>205</v>
      </c>
      <c r="D125" s="155"/>
      <c r="E125" s="41">
        <f t="shared" si="207"/>
        <v>2.4430000000000001</v>
      </c>
      <c r="F125" s="160">
        <v>2.4430000000000001</v>
      </c>
      <c r="G125" s="155">
        <v>1.99</v>
      </c>
      <c r="H125" s="155"/>
      <c r="I125" s="145">
        <f t="shared" si="208"/>
        <v>4.1200000000000028</v>
      </c>
      <c r="J125" s="159">
        <f t="shared" si="209"/>
        <v>4.1200000000000028</v>
      </c>
      <c r="K125" s="154">
        <v>2.8929999999999998</v>
      </c>
      <c r="M125" s="154">
        <f t="shared" si="219"/>
        <v>1.89392490308896</v>
      </c>
      <c r="N125" s="154">
        <v>2.13</v>
      </c>
      <c r="O125" s="154">
        <v>2.19</v>
      </c>
      <c r="P125" s="145"/>
      <c r="Q125" s="145"/>
      <c r="R125" s="145"/>
      <c r="S125" s="145"/>
      <c r="T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HJ125" s="155"/>
      <c r="HK125" s="155"/>
    </row>
    <row r="126" spans="1:219" s="154" customFormat="1" ht="15" x14ac:dyDescent="0.25">
      <c r="A126" s="223">
        <f t="shared" si="212"/>
        <v>28</v>
      </c>
      <c r="B126" s="155" t="s">
        <v>58</v>
      </c>
      <c r="C126" s="41" t="s">
        <v>206</v>
      </c>
      <c r="D126" s="155"/>
      <c r="E126" s="41">
        <f t="shared" si="207"/>
        <v>2.4990000000000001</v>
      </c>
      <c r="F126" s="160">
        <v>2.4990000000000001</v>
      </c>
      <c r="G126" s="155">
        <v>2.0249999999999999</v>
      </c>
      <c r="H126" s="155"/>
      <c r="I126" s="145">
        <f t="shared" si="208"/>
        <v>4.2400000000000029</v>
      </c>
      <c r="J126" s="159">
        <f t="shared" si="209"/>
        <v>4.2400000000000029</v>
      </c>
      <c r="K126" s="154">
        <v>3.0459999999999998</v>
      </c>
      <c r="M126" s="154">
        <f t="shared" si="219"/>
        <v>1.89392490308896</v>
      </c>
      <c r="N126" s="154">
        <v>2.16</v>
      </c>
      <c r="O126" s="154">
        <v>2.2400000000000002</v>
      </c>
      <c r="P126" s="145"/>
      <c r="Q126" s="145"/>
      <c r="R126" s="145"/>
      <c r="S126" s="145"/>
      <c r="T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HJ126" s="155"/>
      <c r="HK126" s="155"/>
    </row>
    <row r="127" spans="1:219" s="154" customFormat="1" ht="15" x14ac:dyDescent="0.25">
      <c r="A127" s="223">
        <f t="shared" si="212"/>
        <v>29</v>
      </c>
      <c r="B127" s="155" t="s">
        <v>59</v>
      </c>
      <c r="C127" s="41" t="s">
        <v>207</v>
      </c>
      <c r="D127" s="155"/>
      <c r="E127" s="41">
        <f t="shared" si="207"/>
        <v>2.5539999999999998</v>
      </c>
      <c r="F127" s="160">
        <v>2.5539999999999998</v>
      </c>
      <c r="G127" s="155">
        <v>2.085</v>
      </c>
      <c r="H127" s="155"/>
      <c r="I127" s="145">
        <f t="shared" si="208"/>
        <v>4.360000000000003</v>
      </c>
      <c r="J127" s="159">
        <f t="shared" si="209"/>
        <v>4.360000000000003</v>
      </c>
      <c r="K127" s="154">
        <v>3.1680000000000001</v>
      </c>
      <c r="M127" s="154">
        <f>M123*1.09</f>
        <v>2.0643781443669664</v>
      </c>
      <c r="N127" s="154">
        <v>2.19</v>
      </c>
      <c r="O127" s="154">
        <v>2.2799999999999998</v>
      </c>
      <c r="P127" s="145"/>
      <c r="Q127" s="145"/>
      <c r="R127" s="145"/>
      <c r="S127" s="145"/>
      <c r="T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HJ127" s="155"/>
      <c r="HK127" s="155"/>
    </row>
    <row r="128" spans="1:219" s="154" customFormat="1" ht="15" x14ac:dyDescent="0.25">
      <c r="A128" s="223">
        <f t="shared" si="212"/>
        <v>30</v>
      </c>
      <c r="B128" s="155" t="s">
        <v>60</v>
      </c>
      <c r="C128" s="41" t="s">
        <v>208</v>
      </c>
      <c r="D128" s="155"/>
      <c r="E128" s="41">
        <f t="shared" si="207"/>
        <v>2.61</v>
      </c>
      <c r="F128" s="160">
        <v>2.61</v>
      </c>
      <c r="G128" s="155">
        <v>2.14</v>
      </c>
      <c r="H128" s="155"/>
      <c r="I128" s="145">
        <f t="shared" si="208"/>
        <v>4.4800000000000031</v>
      </c>
      <c r="J128" s="159">
        <f t="shared" si="209"/>
        <v>4.4800000000000031</v>
      </c>
      <c r="K128" s="154">
        <v>3.2829999999999999</v>
      </c>
      <c r="M128" s="154">
        <f t="shared" ref="M128:M130" si="220">M124*1.09</f>
        <v>2.0643781443669664</v>
      </c>
      <c r="N128" s="154">
        <v>2.23</v>
      </c>
      <c r="O128" s="154">
        <v>2.3199999999999998</v>
      </c>
      <c r="P128" s="145"/>
      <c r="Q128" s="145"/>
      <c r="R128" s="145"/>
      <c r="S128" s="145"/>
      <c r="T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HJ128" s="155"/>
      <c r="HK128" s="155"/>
    </row>
    <row r="129" spans="1:219" s="154" customFormat="1" ht="15" x14ac:dyDescent="0.25">
      <c r="A129" s="223">
        <f t="shared" si="212"/>
        <v>31</v>
      </c>
      <c r="B129" s="155" t="s">
        <v>61</v>
      </c>
      <c r="C129" s="41" t="s">
        <v>209</v>
      </c>
      <c r="D129" s="155"/>
      <c r="E129" s="41">
        <f t="shared" si="207"/>
        <v>2.665</v>
      </c>
      <c r="F129" s="160">
        <v>2.665</v>
      </c>
      <c r="G129" s="155">
        <v>2.194</v>
      </c>
      <c r="H129" s="155"/>
      <c r="I129" s="145">
        <f t="shared" si="208"/>
        <v>4.6000000000000032</v>
      </c>
      <c r="J129" s="159">
        <f t="shared" si="209"/>
        <v>4.6000000000000032</v>
      </c>
      <c r="K129" s="154">
        <v>3.45</v>
      </c>
      <c r="M129" s="154">
        <f t="shared" si="220"/>
        <v>2.0643781443669664</v>
      </c>
      <c r="N129" s="154">
        <v>2.27</v>
      </c>
      <c r="O129" s="154">
        <v>2.36</v>
      </c>
      <c r="P129" s="145"/>
      <c r="Q129" s="145"/>
      <c r="R129" s="145"/>
      <c r="S129" s="145"/>
      <c r="T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HJ129" s="155"/>
      <c r="HK129" s="155"/>
    </row>
    <row r="130" spans="1:219" s="154" customFormat="1" ht="15" x14ac:dyDescent="0.25">
      <c r="A130" s="223">
        <f t="shared" si="212"/>
        <v>32</v>
      </c>
      <c r="B130" s="155" t="s">
        <v>62</v>
      </c>
      <c r="C130" s="41" t="s">
        <v>210</v>
      </c>
      <c r="D130" s="155"/>
      <c r="E130" s="41">
        <f t="shared" si="207"/>
        <v>2.7210000000000001</v>
      </c>
      <c r="F130" s="160">
        <v>2.7210000000000001</v>
      </c>
      <c r="G130" s="155">
        <v>2.2509999999999999</v>
      </c>
      <c r="H130" s="155"/>
      <c r="I130" s="145">
        <f t="shared" si="208"/>
        <v>4.7200000000000033</v>
      </c>
      <c r="J130" s="159">
        <f t="shared" si="209"/>
        <v>4.7200000000000033</v>
      </c>
      <c r="K130" s="154">
        <v>3.6539999999999999</v>
      </c>
      <c r="M130" s="154">
        <f t="shared" si="220"/>
        <v>2.0643781443669664</v>
      </c>
      <c r="N130" s="154">
        <v>2.39</v>
      </c>
      <c r="O130" s="154">
        <v>2.46</v>
      </c>
      <c r="P130" s="145"/>
      <c r="Q130" s="145"/>
      <c r="R130" s="145"/>
      <c r="S130" s="145"/>
      <c r="T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HJ130" s="155"/>
      <c r="HK130" s="155"/>
    </row>
    <row r="131" spans="1:219" s="154" customFormat="1" ht="15" x14ac:dyDescent="0.25">
      <c r="A131" s="223">
        <f t="shared" si="212"/>
        <v>33</v>
      </c>
      <c r="B131" s="155" t="s">
        <v>63</v>
      </c>
      <c r="C131" s="41" t="s">
        <v>211</v>
      </c>
      <c r="D131" s="155"/>
      <c r="E131" s="41">
        <f t="shared" ref="E131:E167" si="221">IF($E$96=$F$96,F131,IF($E$96=$G$96,ROUND(G131/G$99,3),1))</f>
        <v>2.7759999999999998</v>
      </c>
      <c r="F131" s="160">
        <v>2.7759999999999998</v>
      </c>
      <c r="G131" s="155">
        <v>2.351</v>
      </c>
      <c r="H131" s="155"/>
      <c r="I131" s="145">
        <f t="shared" si="208"/>
        <v>4.8400000000000034</v>
      </c>
      <c r="J131" s="159">
        <f t="shared" si="209"/>
        <v>4.8400000000000034</v>
      </c>
      <c r="K131" s="154">
        <v>3.84</v>
      </c>
      <c r="M131" s="154">
        <f>M127*1.119</f>
        <v>2.3100391435466356</v>
      </c>
      <c r="N131" s="154">
        <v>2.48</v>
      </c>
      <c r="O131" s="154">
        <v>2.54</v>
      </c>
      <c r="P131" s="145"/>
      <c r="Q131" s="145"/>
      <c r="R131" s="145"/>
      <c r="S131" s="145"/>
      <c r="T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HJ131" s="155"/>
      <c r="HK131" s="155"/>
    </row>
    <row r="132" spans="1:219" s="154" customFormat="1" ht="15" x14ac:dyDescent="0.25">
      <c r="A132" s="223">
        <f t="shared" si="212"/>
        <v>34</v>
      </c>
      <c r="B132" s="155" t="s">
        <v>64</v>
      </c>
      <c r="C132" s="41" t="s">
        <v>212</v>
      </c>
      <c r="D132" s="155"/>
      <c r="E132" s="41">
        <f t="shared" si="221"/>
        <v>2.831</v>
      </c>
      <c r="F132" s="155">
        <v>2.831</v>
      </c>
      <c r="G132" s="155">
        <v>2.4340000000000002</v>
      </c>
      <c r="H132" s="155"/>
      <c r="I132" s="145">
        <f t="shared" si="208"/>
        <v>4.9600000000000035</v>
      </c>
      <c r="J132" s="159">
        <f t="shared" si="209"/>
        <v>4.9600000000000035</v>
      </c>
      <c r="K132" s="154">
        <v>3.976</v>
      </c>
      <c r="M132" s="154">
        <f t="shared" ref="M132:M134" si="222">M128*1.119</f>
        <v>2.3100391435466356</v>
      </c>
      <c r="N132" s="154">
        <v>2.58</v>
      </c>
      <c r="O132" s="154">
        <v>2.64</v>
      </c>
      <c r="P132" s="145"/>
      <c r="Q132" s="145"/>
      <c r="R132" s="145"/>
      <c r="S132" s="145"/>
      <c r="T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HJ132" s="155"/>
      <c r="HK132" s="155"/>
    </row>
    <row r="133" spans="1:219" s="154" customFormat="1" ht="15" x14ac:dyDescent="0.25">
      <c r="A133" s="223">
        <f t="shared" si="212"/>
        <v>35</v>
      </c>
      <c r="B133" s="155" t="s">
        <v>65</v>
      </c>
      <c r="C133" s="41" t="s">
        <v>213</v>
      </c>
      <c r="D133" s="155"/>
      <c r="E133" s="41">
        <f>IF($E$96=$F$96,F133,IF($E$96=$G$96,ROUND(G133/G$99,3),1))</f>
        <v>2.89</v>
      </c>
      <c r="F133" s="155">
        <v>2.89</v>
      </c>
      <c r="G133" s="155">
        <v>2.548</v>
      </c>
      <c r="H133" s="155"/>
      <c r="I133" s="145">
        <f t="shared" si="208"/>
        <v>5.08</v>
      </c>
      <c r="J133" s="154">
        <v>5.08</v>
      </c>
      <c r="K133" s="154">
        <v>4.1660000000000004</v>
      </c>
      <c r="M133" s="154">
        <f t="shared" si="222"/>
        <v>2.3100391435466356</v>
      </c>
      <c r="N133" s="154">
        <v>2.69</v>
      </c>
      <c r="O133" s="154">
        <v>2.75</v>
      </c>
      <c r="P133" s="145"/>
      <c r="Q133" s="145"/>
      <c r="R133" s="145"/>
      <c r="S133" s="145"/>
      <c r="T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HJ133" s="155"/>
      <c r="HK133" s="155"/>
    </row>
    <row r="134" spans="1:219" s="154" customFormat="1" ht="15" x14ac:dyDescent="0.25">
      <c r="A134" s="223">
        <f t="shared" si="212"/>
        <v>36</v>
      </c>
      <c r="B134" s="155" t="s">
        <v>66</v>
      </c>
      <c r="C134" s="41" t="s">
        <v>214</v>
      </c>
      <c r="D134" s="155"/>
      <c r="E134" s="41">
        <f t="shared" si="221"/>
        <v>2.92</v>
      </c>
      <c r="F134" s="155">
        <v>2.92</v>
      </c>
      <c r="G134" s="155">
        <v>2.601</v>
      </c>
      <c r="H134" s="155"/>
      <c r="I134" s="145">
        <f t="shared" si="208"/>
        <v>5.14</v>
      </c>
      <c r="J134" s="154">
        <v>5.14</v>
      </c>
      <c r="K134" s="154">
        <v>4.3170000000000002</v>
      </c>
      <c r="M134" s="154">
        <f t="shared" si="222"/>
        <v>2.3100391435466356</v>
      </c>
      <c r="N134" s="154">
        <v>2.76</v>
      </c>
      <c r="O134" s="154">
        <v>2.83</v>
      </c>
      <c r="P134" s="145"/>
      <c r="Q134" s="145"/>
      <c r="R134" s="145"/>
      <c r="S134" s="145"/>
      <c r="T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HJ134" s="155"/>
      <c r="HK134" s="155"/>
    </row>
    <row r="135" spans="1:219" s="154" customFormat="1" ht="15" x14ac:dyDescent="0.25">
      <c r="A135" s="223">
        <f t="shared" si="212"/>
        <v>37</v>
      </c>
      <c r="B135" s="155" t="s">
        <v>67</v>
      </c>
      <c r="C135" s="41" t="s">
        <v>215</v>
      </c>
      <c r="D135" s="155"/>
      <c r="E135" s="41">
        <f t="shared" si="221"/>
        <v>3.07</v>
      </c>
      <c r="F135" s="155">
        <v>3.07</v>
      </c>
      <c r="G135" s="155">
        <v>2.65</v>
      </c>
      <c r="H135" s="155"/>
      <c r="I135" s="145">
        <f t="shared" si="208"/>
        <v>5.47</v>
      </c>
      <c r="J135" s="154">
        <v>5.47</v>
      </c>
      <c r="K135" s="154">
        <v>4.3140000000000001</v>
      </c>
      <c r="M135" s="154">
        <f>M131*1.133</f>
        <v>2.6172743496383384</v>
      </c>
      <c r="N135" s="154">
        <v>2.83</v>
      </c>
      <c r="O135" s="154">
        <v>2.9</v>
      </c>
      <c r="P135" s="145"/>
      <c r="Q135" s="145"/>
      <c r="R135" s="145"/>
      <c r="S135" s="145"/>
      <c r="T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HJ135" s="155"/>
      <c r="HK135" s="155"/>
    </row>
    <row r="136" spans="1:219" s="154" customFormat="1" ht="15" x14ac:dyDescent="0.25">
      <c r="A136" s="223">
        <f t="shared" si="212"/>
        <v>38</v>
      </c>
      <c r="B136" s="155" t="s">
        <v>68</v>
      </c>
      <c r="C136" s="41" t="s">
        <v>216</v>
      </c>
      <c r="D136" s="155"/>
      <c r="E136" s="41">
        <f t="shared" si="221"/>
        <v>3.01</v>
      </c>
      <c r="F136" s="155">
        <v>3.01</v>
      </c>
      <c r="G136" s="155">
        <v>2.665</v>
      </c>
      <c r="H136" s="155"/>
      <c r="I136" s="145">
        <f t="shared" si="208"/>
        <v>5.44</v>
      </c>
      <c r="J136" s="154">
        <v>5.44</v>
      </c>
      <c r="K136" s="154">
        <v>4.2789999999999999</v>
      </c>
      <c r="M136" s="154">
        <f t="shared" ref="M136:M138" si="223">M132*1.133</f>
        <v>2.6172743496383384</v>
      </c>
      <c r="N136" s="154">
        <v>2.97</v>
      </c>
      <c r="O136" s="154">
        <v>3.03</v>
      </c>
      <c r="P136" s="145"/>
      <c r="Q136" s="145"/>
      <c r="R136" s="145"/>
      <c r="S136" s="145"/>
      <c r="T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HJ136" s="155"/>
      <c r="HK136" s="155"/>
    </row>
    <row r="137" spans="1:219" s="154" customFormat="1" ht="15" x14ac:dyDescent="0.25">
      <c r="A137" s="223">
        <f t="shared" si="212"/>
        <v>39</v>
      </c>
      <c r="B137" s="155" t="s">
        <v>69</v>
      </c>
      <c r="C137" s="41" t="s">
        <v>217</v>
      </c>
      <c r="D137" s="155"/>
      <c r="E137" s="41">
        <f t="shared" si="221"/>
        <v>3.12</v>
      </c>
      <c r="F137" s="155">
        <v>3.12</v>
      </c>
      <c r="G137" s="155">
        <v>2.6760000000000002</v>
      </c>
      <c r="H137" s="155"/>
      <c r="I137" s="145">
        <f t="shared" si="208"/>
        <v>5.6</v>
      </c>
      <c r="J137" s="154">
        <v>5.6</v>
      </c>
      <c r="K137" s="154">
        <v>4.3559999999999999</v>
      </c>
      <c r="M137" s="154">
        <f t="shared" si="223"/>
        <v>2.6172743496383384</v>
      </c>
      <c r="N137" s="154">
        <v>3.03</v>
      </c>
      <c r="O137" s="154">
        <v>3.09</v>
      </c>
      <c r="P137" s="145"/>
      <c r="Q137" s="145"/>
      <c r="R137" s="145"/>
      <c r="S137" s="145"/>
      <c r="T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HJ137" s="155"/>
      <c r="HK137" s="155"/>
    </row>
    <row r="138" spans="1:219" s="154" customFormat="1" ht="15" x14ac:dyDescent="0.25">
      <c r="A138" s="223">
        <f t="shared" si="212"/>
        <v>40</v>
      </c>
      <c r="B138" s="155" t="s">
        <v>70</v>
      </c>
      <c r="C138" s="41" t="s">
        <v>218</v>
      </c>
      <c r="D138" s="155"/>
      <c r="E138" s="41">
        <f t="shared" si="221"/>
        <v>3.16</v>
      </c>
      <c r="F138" s="155">
        <v>3.16</v>
      </c>
      <c r="G138" s="155">
        <v>2.6789999999999998</v>
      </c>
      <c r="H138" s="155"/>
      <c r="I138" s="145">
        <f t="shared" si="208"/>
        <v>5.69</v>
      </c>
      <c r="J138" s="154">
        <v>5.69</v>
      </c>
      <c r="K138" s="154">
        <v>4.3689999999999998</v>
      </c>
      <c r="M138" s="154">
        <f t="shared" si="223"/>
        <v>2.6172743496383384</v>
      </c>
      <c r="N138" s="154">
        <v>3.08</v>
      </c>
      <c r="O138" s="154">
        <v>3.14</v>
      </c>
      <c r="P138" s="145"/>
      <c r="Q138" s="145"/>
      <c r="R138" s="145"/>
      <c r="S138" s="145"/>
      <c r="T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HJ138" s="155"/>
      <c r="HK138" s="155"/>
    </row>
    <row r="139" spans="1:219" s="154" customFormat="1" ht="15" x14ac:dyDescent="0.25">
      <c r="A139" s="223">
        <f t="shared" si="212"/>
        <v>41</v>
      </c>
      <c r="B139" s="155" t="s">
        <v>71</v>
      </c>
      <c r="C139" s="41" t="s">
        <v>219</v>
      </c>
      <c r="D139" s="155"/>
      <c r="E139" s="41">
        <f t="shared" si="221"/>
        <v>3.15</v>
      </c>
      <c r="F139" s="155">
        <v>3.15</v>
      </c>
      <c r="G139" s="155">
        <v>2.7109999999999999</v>
      </c>
      <c r="H139" s="155"/>
      <c r="I139" s="145">
        <f>IF($E$96=$F$96,J139,IF($E$96=$G$96,ROUND(K139/K$99,3),1))</f>
        <v>5.8</v>
      </c>
      <c r="J139" s="154">
        <v>5.8</v>
      </c>
      <c r="K139" s="154">
        <v>4.4660000000000002</v>
      </c>
      <c r="M139" s="154">
        <f>M135*1.088</f>
        <v>2.8475944924065124</v>
      </c>
      <c r="N139" s="154">
        <v>3.05</v>
      </c>
      <c r="O139" s="154">
        <v>3.11</v>
      </c>
      <c r="P139" s="145"/>
      <c r="Q139" s="145"/>
      <c r="R139" s="145"/>
      <c r="S139" s="145"/>
      <c r="T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HJ139" s="155"/>
      <c r="HK139" s="155"/>
    </row>
    <row r="140" spans="1:219" s="154" customFormat="1" ht="15" x14ac:dyDescent="0.25">
      <c r="A140" s="223">
        <f t="shared" si="212"/>
        <v>42</v>
      </c>
      <c r="B140" s="155" t="s">
        <v>72</v>
      </c>
      <c r="C140" s="41" t="s">
        <v>220</v>
      </c>
      <c r="D140" s="155"/>
      <c r="E140" s="41">
        <f t="shared" si="221"/>
        <v>3.14</v>
      </c>
      <c r="F140" s="155">
        <v>3.14</v>
      </c>
      <c r="G140" s="155">
        <v>2.7629999999999999</v>
      </c>
      <c r="H140" s="155"/>
      <c r="I140" s="145">
        <f t="shared" ref="I140:I182" si="224">IF($E$96=$F$96,J140,IF($E$96=$G$96,ROUND(K140/K$99,3),1))</f>
        <v>5.77</v>
      </c>
      <c r="J140" s="154">
        <v>5.77</v>
      </c>
      <c r="M140" s="154">
        <f t="shared" ref="M140:M142" si="225">M136*1.088</f>
        <v>2.8475944924065124</v>
      </c>
      <c r="N140" s="154">
        <v>3.05</v>
      </c>
      <c r="O140" s="154">
        <v>3.11</v>
      </c>
      <c r="P140" s="145"/>
      <c r="Q140" s="145"/>
      <c r="R140" s="145"/>
      <c r="S140" s="145"/>
      <c r="T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HJ140" s="155"/>
      <c r="HK140" s="155"/>
    </row>
    <row r="141" spans="1:219" s="154" customFormat="1" ht="15" x14ac:dyDescent="0.25">
      <c r="A141" s="223">
        <f t="shared" si="212"/>
        <v>43</v>
      </c>
      <c r="B141" s="155" t="s">
        <v>73</v>
      </c>
      <c r="C141" s="41" t="s">
        <v>221</v>
      </c>
      <c r="D141" s="155"/>
      <c r="E141" s="41">
        <f t="shared" si="221"/>
        <v>3.27</v>
      </c>
      <c r="F141" s="155">
        <v>3.27</v>
      </c>
      <c r="G141" s="155">
        <v>2.806</v>
      </c>
      <c r="H141" s="155"/>
      <c r="I141" s="145">
        <f t="shared" si="224"/>
        <v>6.03</v>
      </c>
      <c r="J141" s="154">
        <v>6.03</v>
      </c>
      <c r="M141" s="154">
        <f t="shared" si="225"/>
        <v>2.8475944924065124</v>
      </c>
      <c r="N141" s="154">
        <v>3.13</v>
      </c>
      <c r="O141" s="154">
        <v>3.19</v>
      </c>
      <c r="P141" s="145"/>
      <c r="Q141" s="145"/>
      <c r="R141" s="145"/>
      <c r="S141" s="145"/>
      <c r="T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HJ141" s="155"/>
      <c r="HK141" s="155"/>
    </row>
    <row r="142" spans="1:219" s="154" customFormat="1" ht="15" x14ac:dyDescent="0.25">
      <c r="A142" s="223">
        <f t="shared" si="212"/>
        <v>44</v>
      </c>
      <c r="B142" s="155" t="s">
        <v>74</v>
      </c>
      <c r="C142" s="41" t="s">
        <v>222</v>
      </c>
      <c r="D142" s="155"/>
      <c r="E142" s="41">
        <f t="shared" si="221"/>
        <v>3.27</v>
      </c>
      <c r="F142" s="155">
        <v>3.27</v>
      </c>
      <c r="G142" s="155">
        <v>2.8370000000000002</v>
      </c>
      <c r="H142" s="155"/>
      <c r="I142" s="145">
        <f t="shared" si="224"/>
        <v>6.03</v>
      </c>
      <c r="J142" s="154">
        <v>6.03</v>
      </c>
      <c r="M142" s="154">
        <f t="shared" si="225"/>
        <v>2.8475944924065124</v>
      </c>
      <c r="N142" s="154">
        <v>3.13</v>
      </c>
      <c r="O142" s="154">
        <v>3.19</v>
      </c>
      <c r="P142" s="145"/>
      <c r="Q142" s="145"/>
      <c r="R142" s="145"/>
      <c r="S142" s="145"/>
      <c r="T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HJ142" s="155"/>
      <c r="HK142" s="155"/>
    </row>
    <row r="143" spans="1:219" s="154" customFormat="1" ht="15" x14ac:dyDescent="0.25">
      <c r="A143" s="223">
        <f t="shared" si="212"/>
        <v>45</v>
      </c>
      <c r="B143" s="155" t="s">
        <v>75</v>
      </c>
      <c r="C143" s="41" t="s">
        <v>223</v>
      </c>
      <c r="D143" s="155"/>
      <c r="E143" s="41">
        <f t="shared" si="221"/>
        <v>3.27</v>
      </c>
      <c r="F143" s="155">
        <v>3.27</v>
      </c>
      <c r="G143" s="155">
        <v>2.9359999999999999</v>
      </c>
      <c r="H143" s="155"/>
      <c r="I143" s="145">
        <f t="shared" si="224"/>
        <v>6.03</v>
      </c>
      <c r="J143" s="154">
        <v>6.03</v>
      </c>
      <c r="M143" s="154">
        <f>M139*1.088</f>
        <v>3.0981828077382856</v>
      </c>
      <c r="N143" s="154">
        <v>3.13</v>
      </c>
      <c r="O143" s="154">
        <v>3.19</v>
      </c>
      <c r="P143" s="145"/>
      <c r="Q143" s="145"/>
      <c r="R143" s="145"/>
      <c r="S143" s="145"/>
      <c r="T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HJ143" s="155"/>
      <c r="HK143" s="155"/>
    </row>
    <row r="144" spans="1:219" s="154" customFormat="1" ht="15" x14ac:dyDescent="0.25">
      <c r="A144" s="223">
        <f t="shared" si="212"/>
        <v>46</v>
      </c>
      <c r="B144" s="155" t="s">
        <v>76</v>
      </c>
      <c r="C144" s="41" t="s">
        <v>224</v>
      </c>
      <c r="D144" s="155"/>
      <c r="E144" s="41">
        <f t="shared" si="221"/>
        <v>3.38</v>
      </c>
      <c r="F144" s="155">
        <v>3.38</v>
      </c>
      <c r="G144" s="155">
        <v>2.952</v>
      </c>
      <c r="H144" s="155"/>
      <c r="I144" s="145">
        <f t="shared" si="224"/>
        <v>6.65</v>
      </c>
      <c r="J144" s="154">
        <v>6.65</v>
      </c>
      <c r="M144" s="154">
        <f t="shared" ref="M144:M146" si="226">M140*1.088</f>
        <v>3.0981828077382856</v>
      </c>
      <c r="N144" s="154">
        <v>3.19</v>
      </c>
      <c r="O144" s="154">
        <v>3.25</v>
      </c>
      <c r="P144" s="145"/>
      <c r="Q144" s="145"/>
      <c r="R144" s="145"/>
      <c r="S144" s="145"/>
      <c r="T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HJ144" s="155"/>
      <c r="HK144" s="155"/>
    </row>
    <row r="145" spans="1:219" s="154" customFormat="1" ht="15" x14ac:dyDescent="0.25">
      <c r="A145" s="223">
        <f t="shared" si="212"/>
        <v>47</v>
      </c>
      <c r="B145" s="155" t="s">
        <v>77</v>
      </c>
      <c r="C145" s="41" t="s">
        <v>225</v>
      </c>
      <c r="D145" s="155"/>
      <c r="E145" s="41">
        <f t="shared" si="221"/>
        <v>3.48</v>
      </c>
      <c r="F145" s="155">
        <v>3.48</v>
      </c>
      <c r="G145" s="155">
        <v>2.9710000000000001</v>
      </c>
      <c r="H145" s="155"/>
      <c r="I145" s="145">
        <f t="shared" si="224"/>
        <v>6.82</v>
      </c>
      <c r="J145" s="154">
        <v>6.82</v>
      </c>
      <c r="M145" s="154">
        <f t="shared" si="226"/>
        <v>3.0981828077382856</v>
      </c>
      <c r="N145" s="154">
        <v>3.27</v>
      </c>
      <c r="O145" s="154">
        <v>3.34</v>
      </c>
      <c r="P145" s="145"/>
      <c r="Q145" s="145"/>
      <c r="R145" s="145"/>
      <c r="S145" s="145"/>
      <c r="T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HJ145" s="155"/>
      <c r="HK145" s="155"/>
    </row>
    <row r="146" spans="1:219" s="154" customFormat="1" ht="15" x14ac:dyDescent="0.25">
      <c r="A146" s="223">
        <f t="shared" si="212"/>
        <v>48</v>
      </c>
      <c r="B146" s="155" t="s">
        <v>78</v>
      </c>
      <c r="C146" s="41" t="s">
        <v>226</v>
      </c>
      <c r="D146" s="155"/>
      <c r="E146" s="41">
        <f t="shared" si="221"/>
        <v>3.55</v>
      </c>
      <c r="F146" s="155">
        <v>3.55</v>
      </c>
      <c r="G146" s="155">
        <v>2.996</v>
      </c>
      <c r="H146" s="155"/>
      <c r="I146" s="145">
        <f t="shared" si="224"/>
        <v>6.95</v>
      </c>
      <c r="J146" s="154">
        <v>6.95</v>
      </c>
      <c r="M146" s="154">
        <f t="shared" si="226"/>
        <v>3.0981828077382856</v>
      </c>
      <c r="N146" s="154">
        <v>3.31</v>
      </c>
      <c r="O146" s="154">
        <v>3.38</v>
      </c>
      <c r="P146" s="145"/>
      <c r="Q146" s="145"/>
      <c r="R146" s="145"/>
      <c r="S146" s="145"/>
      <c r="T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HJ146" s="155"/>
      <c r="HK146" s="155"/>
    </row>
    <row r="147" spans="1:219" s="154" customFormat="1" ht="15" x14ac:dyDescent="0.25">
      <c r="A147" s="223">
        <f t="shared" si="212"/>
        <v>49</v>
      </c>
      <c r="B147" s="155" t="s">
        <v>79</v>
      </c>
      <c r="C147" s="41" t="s">
        <v>191</v>
      </c>
      <c r="D147" s="155"/>
      <c r="E147" s="41">
        <f t="shared" si="221"/>
        <v>3.58</v>
      </c>
      <c r="F147" s="155">
        <v>3.58</v>
      </c>
      <c r="G147" s="161">
        <v>3.0270000000000001</v>
      </c>
      <c r="H147" s="155"/>
      <c r="I147" s="145">
        <f t="shared" si="224"/>
        <v>7.06</v>
      </c>
      <c r="J147" s="154">
        <v>7.06</v>
      </c>
      <c r="M147" s="154">
        <f>M143*1.061</f>
        <v>3.2871719590103208</v>
      </c>
      <c r="N147" s="154">
        <v>3.35</v>
      </c>
      <c r="O147" s="154">
        <v>3.42</v>
      </c>
      <c r="P147" s="145"/>
      <c r="Q147" s="145"/>
      <c r="R147" s="145"/>
      <c r="S147" s="145"/>
      <c r="T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HJ147" s="155"/>
      <c r="HK147" s="155"/>
    </row>
    <row r="148" spans="1:219" s="154" customFormat="1" ht="15" x14ac:dyDescent="0.25">
      <c r="A148" s="223">
        <f t="shared" si="212"/>
        <v>50</v>
      </c>
      <c r="B148" s="155" t="s">
        <v>80</v>
      </c>
      <c r="C148" s="41" t="s">
        <v>189</v>
      </c>
      <c r="D148" s="155"/>
      <c r="E148" s="41">
        <f t="shared" si="221"/>
        <v>3.66</v>
      </c>
      <c r="F148" s="155">
        <v>3.66</v>
      </c>
      <c r="G148" s="161">
        <v>3.069</v>
      </c>
      <c r="H148" s="155"/>
      <c r="I148" s="145">
        <f t="shared" si="224"/>
        <v>7.21</v>
      </c>
      <c r="J148" s="154">
        <v>7.21</v>
      </c>
      <c r="M148" s="154">
        <f t="shared" ref="M148:M150" si="227">M144*1.061</f>
        <v>3.2871719590103208</v>
      </c>
      <c r="N148" s="154">
        <v>3.42</v>
      </c>
      <c r="O148" s="154">
        <v>3.49</v>
      </c>
      <c r="P148" s="145"/>
      <c r="Q148" s="145"/>
      <c r="R148" s="145"/>
      <c r="S148" s="145"/>
      <c r="T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HJ148" s="155"/>
      <c r="HK148" s="155"/>
    </row>
    <row r="149" spans="1:219" s="154" customFormat="1" ht="15" x14ac:dyDescent="0.25">
      <c r="A149" s="223">
        <f t="shared" si="212"/>
        <v>51</v>
      </c>
      <c r="B149" s="155" t="s">
        <v>81</v>
      </c>
      <c r="C149" s="41" t="s">
        <v>190</v>
      </c>
      <c r="D149" s="155"/>
      <c r="E149" s="41">
        <f t="shared" si="221"/>
        <v>3.74</v>
      </c>
      <c r="F149" s="155">
        <v>3.74</v>
      </c>
      <c r="G149" s="161">
        <v>3.101</v>
      </c>
      <c r="H149" s="155"/>
      <c r="I149" s="145">
        <f t="shared" si="224"/>
        <v>7.38</v>
      </c>
      <c r="J149" s="154">
        <v>7.38</v>
      </c>
      <c r="M149" s="154">
        <f t="shared" si="227"/>
        <v>3.2871719590103208</v>
      </c>
      <c r="N149" s="154">
        <v>3.46</v>
      </c>
      <c r="O149" s="154">
        <v>3.53</v>
      </c>
      <c r="P149" s="145"/>
      <c r="Q149" s="145"/>
      <c r="R149" s="145"/>
      <c r="S149" s="145"/>
      <c r="T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HJ149" s="155"/>
      <c r="HK149" s="155"/>
    </row>
    <row r="150" spans="1:219" s="154" customFormat="1" ht="15" x14ac:dyDescent="0.25">
      <c r="A150" s="223">
        <f t="shared" si="212"/>
        <v>52</v>
      </c>
      <c r="B150" s="155" t="s">
        <v>82</v>
      </c>
      <c r="C150" s="41" t="s">
        <v>188</v>
      </c>
      <c r="D150" s="155"/>
      <c r="E150" s="41">
        <f t="shared" si="221"/>
        <v>3.82</v>
      </c>
      <c r="F150" s="155">
        <v>3.82</v>
      </c>
      <c r="G150" s="161">
        <v>3.1150000000000002</v>
      </c>
      <c r="H150" s="155"/>
      <c r="I150" s="145">
        <f t="shared" si="224"/>
        <v>7.53</v>
      </c>
      <c r="J150" s="154">
        <v>7.53</v>
      </c>
      <c r="M150" s="154">
        <f t="shared" si="227"/>
        <v>3.2871719590103208</v>
      </c>
      <c r="N150" s="154">
        <v>3.53</v>
      </c>
      <c r="O150" s="154">
        <v>3.59</v>
      </c>
      <c r="P150" s="145"/>
      <c r="Q150" s="145"/>
      <c r="R150" s="145"/>
      <c r="S150" s="145"/>
      <c r="T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HJ150" s="155"/>
      <c r="HK150" s="155"/>
    </row>
    <row r="151" spans="1:219" s="154" customFormat="1" ht="15" x14ac:dyDescent="0.25">
      <c r="A151" s="223">
        <f t="shared" si="212"/>
        <v>53</v>
      </c>
      <c r="B151" s="155" t="s">
        <v>83</v>
      </c>
      <c r="C151" s="41" t="s">
        <v>247</v>
      </c>
      <c r="D151" s="155"/>
      <c r="E151" s="41">
        <f t="shared" si="221"/>
        <v>3.86</v>
      </c>
      <c r="F151" s="161">
        <v>3.86</v>
      </c>
      <c r="G151" s="161">
        <v>3.16</v>
      </c>
      <c r="H151" s="155"/>
      <c r="I151" s="145">
        <f t="shared" si="224"/>
        <v>7.61</v>
      </c>
      <c r="J151" s="154">
        <v>7.61</v>
      </c>
      <c r="K151" s="162"/>
      <c r="L151" s="162"/>
      <c r="M151" s="154">
        <f>M147*1.066</f>
        <v>3.5041253083050021</v>
      </c>
      <c r="N151" s="162">
        <v>3.58</v>
      </c>
      <c r="O151" s="162">
        <v>3.64</v>
      </c>
      <c r="P151" s="145"/>
      <c r="Q151" s="145"/>
      <c r="R151" s="145"/>
      <c r="S151" s="145"/>
      <c r="T151" s="145"/>
      <c r="U151" s="162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HJ151" s="155"/>
      <c r="HK151" s="155"/>
    </row>
    <row r="152" spans="1:219" s="154" customFormat="1" ht="15" x14ac:dyDescent="0.25">
      <c r="A152" s="223">
        <f t="shared" si="212"/>
        <v>54</v>
      </c>
      <c r="B152" s="155" t="s">
        <v>84</v>
      </c>
      <c r="C152" s="41" t="s">
        <v>248</v>
      </c>
      <c r="D152" s="155"/>
      <c r="E152" s="41">
        <f t="shared" si="221"/>
        <v>3.9</v>
      </c>
      <c r="F152" s="161">
        <v>3.9</v>
      </c>
      <c r="G152" s="161">
        <v>3.1859999999999999</v>
      </c>
      <c r="H152" s="155"/>
      <c r="I152" s="145">
        <f t="shared" si="224"/>
        <v>7.66</v>
      </c>
      <c r="J152" s="154">
        <v>7.66</v>
      </c>
      <c r="K152" s="162"/>
      <c r="L152" s="162"/>
      <c r="M152" s="154">
        <f t="shared" ref="M152:M154" si="228">M148*1.066</f>
        <v>3.5041253083050021</v>
      </c>
      <c r="N152" s="162">
        <v>3.6</v>
      </c>
      <c r="O152" s="162">
        <v>3.66</v>
      </c>
      <c r="P152" s="145"/>
      <c r="Q152" s="145"/>
      <c r="R152" s="145"/>
      <c r="S152" s="145"/>
      <c r="T152" s="145"/>
      <c r="U152" s="162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HJ152" s="155"/>
      <c r="HK152" s="155"/>
    </row>
    <row r="153" spans="1:219" s="154" customFormat="1" ht="15" x14ac:dyDescent="0.25">
      <c r="A153" s="223">
        <f t="shared" si="212"/>
        <v>55</v>
      </c>
      <c r="B153" s="155" t="s">
        <v>85</v>
      </c>
      <c r="C153" s="41" t="s">
        <v>249</v>
      </c>
      <c r="D153" s="155"/>
      <c r="E153" s="41">
        <f t="shared" si="221"/>
        <v>3.94</v>
      </c>
      <c r="F153" s="161">
        <v>3.94</v>
      </c>
      <c r="G153" s="161">
        <v>3.2280000000000002</v>
      </c>
      <c r="H153" s="155"/>
      <c r="I153" s="145">
        <f t="shared" si="224"/>
        <v>7.74</v>
      </c>
      <c r="J153" s="154">
        <v>7.74</v>
      </c>
      <c r="K153" s="162"/>
      <c r="L153" s="162"/>
      <c r="M153" s="154">
        <f t="shared" si="228"/>
        <v>3.5041253083050021</v>
      </c>
      <c r="N153" s="162">
        <v>3.64</v>
      </c>
      <c r="O153" s="162">
        <v>3.7</v>
      </c>
      <c r="P153" s="145"/>
      <c r="Q153" s="145"/>
      <c r="R153" s="145"/>
      <c r="S153" s="145"/>
      <c r="T153" s="145"/>
      <c r="U153" s="162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HJ153" s="155"/>
      <c r="HK153" s="155"/>
    </row>
    <row r="154" spans="1:219" s="154" customFormat="1" ht="15" x14ac:dyDescent="0.25">
      <c r="A154" s="223">
        <f t="shared" si="212"/>
        <v>56</v>
      </c>
      <c r="B154" s="155" t="s">
        <v>86</v>
      </c>
      <c r="C154" s="41" t="s">
        <v>250</v>
      </c>
      <c r="D154" s="155"/>
      <c r="E154" s="41">
        <f t="shared" si="221"/>
        <v>3.94</v>
      </c>
      <c r="F154" s="161">
        <v>3.94</v>
      </c>
      <c r="G154" s="161">
        <v>3.2189999999999999</v>
      </c>
      <c r="H154" s="155"/>
      <c r="I154" s="145">
        <f t="shared" si="224"/>
        <v>7.74</v>
      </c>
      <c r="J154" s="154">
        <v>7.74</v>
      </c>
      <c r="K154" s="162"/>
      <c r="L154" s="162"/>
      <c r="M154" s="154">
        <f t="shared" si="228"/>
        <v>3.5041253083050021</v>
      </c>
      <c r="N154" s="162">
        <v>3.64</v>
      </c>
      <c r="O154" s="162">
        <v>3.7</v>
      </c>
      <c r="P154" s="145"/>
      <c r="Q154" s="145"/>
      <c r="R154" s="145"/>
      <c r="S154" s="145"/>
      <c r="T154" s="145"/>
      <c r="U154" s="162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HJ154" s="155"/>
      <c r="HK154" s="155"/>
    </row>
    <row r="155" spans="1:219" s="154" customFormat="1" ht="15" x14ac:dyDescent="0.25">
      <c r="A155" s="223">
        <f t="shared" si="212"/>
        <v>57</v>
      </c>
      <c r="B155" s="155" t="s">
        <v>87</v>
      </c>
      <c r="C155" s="41" t="s">
        <v>307</v>
      </c>
      <c r="D155" s="155"/>
      <c r="E155" s="41">
        <f t="shared" si="221"/>
        <v>3.94</v>
      </c>
      <c r="F155" s="161">
        <v>3.94</v>
      </c>
      <c r="G155" s="161">
        <v>3.222</v>
      </c>
      <c r="H155" s="160"/>
      <c r="I155" s="145">
        <f t="shared" si="224"/>
        <v>7.74</v>
      </c>
      <c r="J155" s="154">
        <v>7.74</v>
      </c>
      <c r="K155" s="159"/>
      <c r="L155" s="159"/>
      <c r="M155" s="154">
        <f>M151*1.065</f>
        <v>3.7318934533448269</v>
      </c>
      <c r="N155" s="162">
        <v>3.64</v>
      </c>
      <c r="O155" s="162">
        <v>3.7</v>
      </c>
      <c r="P155" s="145"/>
      <c r="Q155" s="145"/>
      <c r="R155" s="145"/>
      <c r="S155" s="145"/>
      <c r="T155" s="145"/>
      <c r="U155" s="159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HJ155" s="155"/>
      <c r="HK155" s="155"/>
    </row>
    <row r="156" spans="1:219" s="154" customFormat="1" ht="15" x14ac:dyDescent="0.25">
      <c r="A156" s="223">
        <f t="shared" si="212"/>
        <v>58</v>
      </c>
      <c r="B156" s="155" t="s">
        <v>88</v>
      </c>
      <c r="C156" s="41" t="s">
        <v>480</v>
      </c>
      <c r="D156" s="155"/>
      <c r="E156" s="41">
        <f t="shared" si="221"/>
        <v>3.96</v>
      </c>
      <c r="F156" s="161">
        <v>3.96</v>
      </c>
      <c r="G156" s="161">
        <v>3.2090000000000001</v>
      </c>
      <c r="H156" s="160"/>
      <c r="I156" s="145">
        <f t="shared" si="224"/>
        <v>7.77</v>
      </c>
      <c r="J156" s="154">
        <v>7.77</v>
      </c>
      <c r="K156" s="159"/>
      <c r="L156" s="159"/>
      <c r="M156" s="154">
        <f>M152*1.065</f>
        <v>3.7318934533448269</v>
      </c>
      <c r="N156" s="162">
        <v>3.64</v>
      </c>
      <c r="O156" s="162">
        <v>3.7</v>
      </c>
      <c r="P156" s="145"/>
      <c r="Q156" s="145"/>
      <c r="R156" s="145"/>
      <c r="S156" s="145"/>
      <c r="T156" s="145"/>
      <c r="U156" s="159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HJ156" s="155"/>
      <c r="HK156" s="155"/>
    </row>
    <row r="157" spans="1:219" s="154" customFormat="1" ht="15" x14ac:dyDescent="0.25">
      <c r="A157" s="223">
        <f t="shared" si="212"/>
        <v>59</v>
      </c>
      <c r="B157" s="155" t="s">
        <v>89</v>
      </c>
      <c r="C157" s="41" t="s">
        <v>637</v>
      </c>
      <c r="D157" s="155"/>
      <c r="E157" s="41">
        <f t="shared" si="221"/>
        <v>4.04</v>
      </c>
      <c r="F157" s="161">
        <v>4.04</v>
      </c>
      <c r="G157" s="161"/>
      <c r="H157" s="160"/>
      <c r="I157" s="145">
        <f t="shared" si="224"/>
        <v>7.93</v>
      </c>
      <c r="J157" s="154">
        <v>7.93</v>
      </c>
      <c r="K157" s="159"/>
      <c r="L157" s="159"/>
      <c r="M157" s="154">
        <f>M153*1.065</f>
        <v>3.7318934533448269</v>
      </c>
      <c r="N157" s="162">
        <v>3.7</v>
      </c>
      <c r="O157" s="162">
        <v>3.76</v>
      </c>
      <c r="P157" s="145"/>
      <c r="Q157" s="145"/>
      <c r="R157" s="145"/>
      <c r="S157" s="145"/>
      <c r="T157" s="145"/>
      <c r="U157" s="159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HJ157" s="155"/>
      <c r="HK157" s="155"/>
    </row>
    <row r="158" spans="1:219" s="154" customFormat="1" ht="15" x14ac:dyDescent="0.25">
      <c r="A158" s="223">
        <f t="shared" si="212"/>
        <v>60</v>
      </c>
      <c r="B158" s="155" t="s">
        <v>90</v>
      </c>
      <c r="C158" s="41" t="s">
        <v>1106</v>
      </c>
      <c r="D158" s="155"/>
      <c r="E158" s="41">
        <f t="shared" si="221"/>
        <v>4.0199999999999996</v>
      </c>
      <c r="F158" s="161">
        <v>4.0199999999999996</v>
      </c>
      <c r="G158" s="160"/>
      <c r="H158" s="160"/>
      <c r="I158" s="145">
        <f t="shared" si="224"/>
        <v>7.9</v>
      </c>
      <c r="J158" s="161">
        <v>7.9</v>
      </c>
      <c r="K158" s="159"/>
      <c r="L158" s="159"/>
      <c r="M158" s="154">
        <f>M154*1.065</f>
        <v>3.7318934533448269</v>
      </c>
      <c r="N158" s="161">
        <v>3.7</v>
      </c>
      <c r="O158" s="161">
        <v>3.76</v>
      </c>
      <c r="P158" s="145"/>
      <c r="Q158" s="145"/>
      <c r="R158" s="145"/>
      <c r="S158" s="145"/>
      <c r="T158" s="145"/>
      <c r="U158" s="159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HJ158" s="155"/>
      <c r="HK158" s="155"/>
    </row>
    <row r="159" spans="1:219" s="154" customFormat="1" ht="15" x14ac:dyDescent="0.25">
      <c r="A159" s="223">
        <f t="shared" si="212"/>
        <v>61</v>
      </c>
      <c r="B159" s="155" t="s">
        <v>91</v>
      </c>
      <c r="C159" s="41" t="s">
        <v>1356</v>
      </c>
      <c r="D159" s="155"/>
      <c r="E159" s="41">
        <f t="shared" si="221"/>
        <v>4.04</v>
      </c>
      <c r="F159" s="161">
        <v>4.04</v>
      </c>
      <c r="G159" s="160"/>
      <c r="H159" s="160"/>
      <c r="I159" s="145">
        <f t="shared" si="224"/>
        <v>7.94</v>
      </c>
      <c r="J159" s="161">
        <v>7.94</v>
      </c>
      <c r="K159" s="159"/>
      <c r="L159" s="159"/>
      <c r="M159" s="154">
        <f>M155*1.114</f>
        <v>4.1573293070261377</v>
      </c>
      <c r="N159" s="161">
        <v>3.73</v>
      </c>
      <c r="O159" s="161">
        <v>3.79</v>
      </c>
      <c r="P159" s="145"/>
      <c r="Q159" s="145"/>
      <c r="R159" s="145"/>
      <c r="S159" s="145"/>
      <c r="T159" s="145"/>
      <c r="U159" s="159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HJ159" s="155"/>
      <c r="HK159" s="155"/>
    </row>
    <row r="160" spans="1:219" s="154" customFormat="1" ht="15" x14ac:dyDescent="0.25">
      <c r="A160" s="223">
        <f t="shared" si="212"/>
        <v>62</v>
      </c>
      <c r="B160" s="155" t="s">
        <v>92</v>
      </c>
      <c r="C160" s="41" t="s">
        <v>1357</v>
      </c>
      <c r="D160" s="155"/>
      <c r="E160" s="41">
        <f t="shared" si="221"/>
        <v>4.04</v>
      </c>
      <c r="F160" s="161">
        <v>4.04</v>
      </c>
      <c r="G160" s="160"/>
      <c r="H160" s="160"/>
      <c r="I160" s="145">
        <f t="shared" si="224"/>
        <v>7.94</v>
      </c>
      <c r="J160" s="161">
        <v>7.94</v>
      </c>
      <c r="K160" s="159"/>
      <c r="L160" s="159"/>
      <c r="M160" s="154">
        <f t="shared" ref="M160:M162" si="229">M156*1.114</f>
        <v>4.1573293070261377</v>
      </c>
      <c r="N160" s="161">
        <v>3.73</v>
      </c>
      <c r="O160" s="161">
        <v>3.79</v>
      </c>
      <c r="P160" s="145"/>
      <c r="Q160" s="145"/>
      <c r="R160" s="145"/>
      <c r="S160" s="145"/>
      <c r="T160" s="145"/>
      <c r="U160" s="159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HJ160" s="155"/>
      <c r="HK160" s="155"/>
    </row>
    <row r="161" spans="1:219" s="154" customFormat="1" ht="15" x14ac:dyDescent="0.25">
      <c r="A161" s="223">
        <f t="shared" si="212"/>
        <v>63</v>
      </c>
      <c r="B161" s="155" t="s">
        <v>93</v>
      </c>
      <c r="C161" s="41" t="s">
        <v>1358</v>
      </c>
      <c r="D161" s="155"/>
      <c r="E161" s="41">
        <f t="shared" si="221"/>
        <v>4.18</v>
      </c>
      <c r="F161" s="161">
        <v>4.18</v>
      </c>
      <c r="G161" s="160"/>
      <c r="H161" s="160"/>
      <c r="I161" s="145">
        <f t="shared" si="224"/>
        <v>8.2100000000000009</v>
      </c>
      <c r="J161" s="161">
        <v>8.2100000000000009</v>
      </c>
      <c r="K161" s="159"/>
      <c r="L161" s="159"/>
      <c r="M161" s="154">
        <f t="shared" si="229"/>
        <v>4.1573293070261377</v>
      </c>
      <c r="N161" s="161">
        <v>3.84</v>
      </c>
      <c r="O161" s="161">
        <v>3.9</v>
      </c>
      <c r="P161" s="145"/>
      <c r="Q161" s="145"/>
      <c r="R161" s="145"/>
      <c r="S161" s="145"/>
      <c r="T161" s="145"/>
      <c r="U161" s="159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HJ161" s="155"/>
      <c r="HK161" s="155"/>
    </row>
    <row r="162" spans="1:219" s="154" customFormat="1" ht="15" x14ac:dyDescent="0.25">
      <c r="A162" s="223">
        <f t="shared" si="212"/>
        <v>64</v>
      </c>
      <c r="B162" s="155" t="s">
        <v>94</v>
      </c>
      <c r="C162" s="40"/>
      <c r="D162" s="155"/>
      <c r="E162" s="41">
        <f t="shared" si="221"/>
        <v>4.25</v>
      </c>
      <c r="F162" s="161">
        <v>4.25</v>
      </c>
      <c r="G162" s="160"/>
      <c r="H162" s="160"/>
      <c r="I162" s="145">
        <f t="shared" si="224"/>
        <v>8.36</v>
      </c>
      <c r="J162" s="161">
        <v>8.36</v>
      </c>
      <c r="K162" s="159"/>
      <c r="L162" s="159"/>
      <c r="M162" s="154">
        <f t="shared" si="229"/>
        <v>4.1573293070261377</v>
      </c>
      <c r="N162" s="161">
        <v>3.84</v>
      </c>
      <c r="O162" s="161">
        <v>3.9</v>
      </c>
      <c r="P162" s="145"/>
      <c r="Q162" s="145"/>
      <c r="R162" s="145"/>
      <c r="S162" s="145"/>
      <c r="T162" s="145"/>
      <c r="U162" s="159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HJ162" s="155"/>
      <c r="HK162" s="155"/>
    </row>
    <row r="163" spans="1:219" s="154" customFormat="1" ht="15" x14ac:dyDescent="0.25">
      <c r="A163" s="223">
        <f t="shared" si="212"/>
        <v>65</v>
      </c>
      <c r="B163" s="155" t="s">
        <v>95</v>
      </c>
      <c r="C163" s="40"/>
      <c r="D163" s="155"/>
      <c r="E163" s="41">
        <f t="shared" si="221"/>
        <v>4.28</v>
      </c>
      <c r="F163" s="161">
        <v>4.28</v>
      </c>
      <c r="G163" s="160"/>
      <c r="H163" s="160"/>
      <c r="I163" s="145">
        <f t="shared" si="224"/>
        <v>8.42</v>
      </c>
      <c r="J163" s="161">
        <v>8.42</v>
      </c>
      <c r="K163" s="159"/>
      <c r="L163" s="159"/>
      <c r="M163" s="154">
        <f>M159*1.129</f>
        <v>4.6936247876325092</v>
      </c>
      <c r="N163" s="161">
        <v>3.92</v>
      </c>
      <c r="O163" s="161">
        <v>3.93</v>
      </c>
      <c r="P163" s="145"/>
      <c r="Q163" s="145"/>
      <c r="R163" s="145"/>
      <c r="S163" s="145"/>
      <c r="T163" s="145"/>
      <c r="U163" s="159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HJ163" s="155"/>
      <c r="HK163" s="155"/>
    </row>
    <row r="164" spans="1:219" s="154" customFormat="1" ht="15" x14ac:dyDescent="0.25">
      <c r="A164" s="223">
        <f t="shared" si="212"/>
        <v>66</v>
      </c>
      <c r="B164" s="155" t="s">
        <v>96</v>
      </c>
      <c r="C164" s="40"/>
      <c r="D164" s="155"/>
      <c r="E164" s="41">
        <f t="shared" si="221"/>
        <v>4.28</v>
      </c>
      <c r="F164" s="161">
        <v>4.28</v>
      </c>
      <c r="G164" s="160"/>
      <c r="H164" s="160"/>
      <c r="I164" s="145">
        <f t="shared" si="224"/>
        <v>8.42</v>
      </c>
      <c r="J164" s="161">
        <v>8.42</v>
      </c>
      <c r="K164" s="159"/>
      <c r="L164" s="159"/>
      <c r="M164" s="154">
        <f t="shared" ref="M164:M166" si="230">M160*1.129</f>
        <v>4.6936247876325092</v>
      </c>
      <c r="N164" s="161">
        <v>3.92</v>
      </c>
      <c r="O164" s="161">
        <v>3.93</v>
      </c>
      <c r="P164" s="145"/>
      <c r="Q164" s="145"/>
      <c r="R164" s="145"/>
      <c r="S164" s="145"/>
      <c r="T164" s="145"/>
      <c r="U164" s="159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HJ164" s="155"/>
      <c r="HK164" s="155"/>
    </row>
    <row r="165" spans="1:219" s="154" customFormat="1" ht="15" x14ac:dyDescent="0.25">
      <c r="A165" s="223">
        <f t="shared" si="212"/>
        <v>67</v>
      </c>
      <c r="B165" s="155" t="s">
        <v>97</v>
      </c>
      <c r="C165" s="41" t="s">
        <v>1390</v>
      </c>
      <c r="D165" s="155"/>
      <c r="E165" s="41">
        <f t="shared" si="221"/>
        <v>4.28</v>
      </c>
      <c r="F165" s="161">
        <v>4.28</v>
      </c>
      <c r="G165" s="160"/>
      <c r="H165" s="160"/>
      <c r="I165" s="145">
        <f t="shared" si="224"/>
        <v>8.42</v>
      </c>
      <c r="J165" s="161">
        <v>8.42</v>
      </c>
      <c r="K165" s="159"/>
      <c r="L165" s="159"/>
      <c r="M165" s="154">
        <f t="shared" si="230"/>
        <v>4.6936247876325092</v>
      </c>
      <c r="N165" s="161">
        <v>3.92</v>
      </c>
      <c r="O165" s="161">
        <v>3.93</v>
      </c>
      <c r="P165" s="145"/>
      <c r="Q165" s="145"/>
      <c r="R165" s="145"/>
      <c r="S165" s="145"/>
      <c r="T165" s="145"/>
      <c r="U165" s="159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HJ165" s="155"/>
      <c r="HK165" s="155"/>
    </row>
    <row r="166" spans="1:219" s="154" customFormat="1" ht="15" x14ac:dyDescent="0.25">
      <c r="A166" s="223">
        <f t="shared" ref="A166:A182" si="231">A165+1</f>
        <v>68</v>
      </c>
      <c r="B166" s="155" t="s">
        <v>98</v>
      </c>
      <c r="C166" s="41" t="s">
        <v>1391</v>
      </c>
      <c r="D166" s="155"/>
      <c r="E166" s="41">
        <f t="shared" si="221"/>
        <v>4.28</v>
      </c>
      <c r="F166" s="161">
        <v>4.28</v>
      </c>
      <c r="G166" s="160"/>
      <c r="H166" s="160"/>
      <c r="I166" s="145">
        <f t="shared" si="224"/>
        <v>8.42</v>
      </c>
      <c r="J166" s="161">
        <v>8.42</v>
      </c>
      <c r="K166" s="159"/>
      <c r="L166" s="159"/>
      <c r="M166" s="154">
        <f t="shared" si="230"/>
        <v>4.6936247876325092</v>
      </c>
      <c r="N166" s="161">
        <v>3.95</v>
      </c>
      <c r="O166" s="161">
        <v>3.99</v>
      </c>
      <c r="P166" s="145"/>
      <c r="Q166" s="145"/>
      <c r="R166" s="145"/>
      <c r="S166" s="145"/>
      <c r="T166" s="145"/>
      <c r="U166" s="159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HJ166" s="155"/>
      <c r="HK166" s="155"/>
    </row>
    <row r="167" spans="1:219" s="154" customFormat="1" ht="15" x14ac:dyDescent="0.25">
      <c r="A167" s="223">
        <f t="shared" si="231"/>
        <v>69</v>
      </c>
      <c r="B167" s="155" t="s">
        <v>99</v>
      </c>
      <c r="C167" s="41" t="s">
        <v>1392</v>
      </c>
      <c r="D167" s="155"/>
      <c r="E167" s="41">
        <f t="shared" si="221"/>
        <v>4.28</v>
      </c>
      <c r="F167" s="161">
        <v>4.28</v>
      </c>
      <c r="G167" s="160"/>
      <c r="H167" s="160"/>
      <c r="I167" s="145">
        <f t="shared" si="224"/>
        <v>8.42</v>
      </c>
      <c r="J167" s="161">
        <v>8.42</v>
      </c>
      <c r="K167" s="159"/>
      <c r="L167" s="159"/>
      <c r="M167" s="154">
        <f>M163*1.054</f>
        <v>4.9470805261646653</v>
      </c>
      <c r="N167" s="161">
        <v>3.99</v>
      </c>
      <c r="O167" s="161">
        <v>3.99</v>
      </c>
      <c r="P167" s="145"/>
      <c r="Q167" s="145"/>
      <c r="R167" s="145"/>
      <c r="S167" s="145"/>
      <c r="T167" s="145"/>
      <c r="U167" s="159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HJ167" s="155"/>
      <c r="HK167" s="155"/>
    </row>
    <row r="168" spans="1:219" s="154" customFormat="1" ht="15" x14ac:dyDescent="0.25">
      <c r="A168" s="223">
        <f t="shared" si="231"/>
        <v>70</v>
      </c>
      <c r="B168" s="155" t="s">
        <v>100</v>
      </c>
      <c r="C168" s="40" t="s">
        <v>1417</v>
      </c>
      <c r="D168" s="155"/>
      <c r="E168" s="41">
        <v>4.28</v>
      </c>
      <c r="F168" s="224">
        <v>4.28</v>
      </c>
      <c r="G168" s="160"/>
      <c r="H168" s="160"/>
      <c r="I168" s="145">
        <v>8.42</v>
      </c>
      <c r="J168" s="224">
        <v>8.42</v>
      </c>
      <c r="K168" s="159"/>
      <c r="L168" s="159"/>
      <c r="M168" s="154">
        <f t="shared" ref="M168:M170" si="232">M164*1.054</f>
        <v>4.9470805261646653</v>
      </c>
      <c r="N168" s="224">
        <v>3.99</v>
      </c>
      <c r="O168" s="224">
        <v>3.99</v>
      </c>
      <c r="P168" s="145"/>
      <c r="Q168" s="145"/>
      <c r="R168" s="145"/>
      <c r="S168" s="145"/>
      <c r="T168" s="145"/>
      <c r="U168" s="159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HJ168" s="155"/>
      <c r="HK168" s="155"/>
    </row>
    <row r="169" spans="1:219" s="154" customFormat="1" ht="15" x14ac:dyDescent="0.25">
      <c r="A169" s="223">
        <f t="shared" si="231"/>
        <v>71</v>
      </c>
      <c r="B169" s="155" t="s">
        <v>101</v>
      </c>
      <c r="C169" s="40"/>
      <c r="D169" s="155"/>
      <c r="E169" s="41">
        <f t="shared" ref="E169:E182" si="233">IF($E$96=$F$96,F169,IF($E$96=$G$96,ROUND(G169/G$99,3),1))</f>
        <v>1</v>
      </c>
      <c r="F169" s="224">
        <v>1</v>
      </c>
      <c r="G169" s="160"/>
      <c r="H169" s="160"/>
      <c r="I169" s="145">
        <f t="shared" si="224"/>
        <v>1</v>
      </c>
      <c r="J169" s="224">
        <v>1</v>
      </c>
      <c r="K169" s="159"/>
      <c r="L169" s="159"/>
      <c r="M169" s="154">
        <f t="shared" si="232"/>
        <v>4.9470805261646653</v>
      </c>
      <c r="N169" s="224">
        <v>1</v>
      </c>
      <c r="O169" s="224">
        <v>1</v>
      </c>
      <c r="P169" s="145"/>
      <c r="Q169" s="145"/>
      <c r="R169" s="145"/>
      <c r="S169" s="145"/>
      <c r="T169" s="145"/>
      <c r="U169" s="159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HJ169" s="155"/>
      <c r="HK169" s="155"/>
    </row>
    <row r="170" spans="1:219" s="154" customFormat="1" ht="15" x14ac:dyDescent="0.25">
      <c r="A170" s="223">
        <f t="shared" si="231"/>
        <v>72</v>
      </c>
      <c r="B170" s="155" t="s">
        <v>102</v>
      </c>
      <c r="C170" s="40"/>
      <c r="D170" s="155"/>
      <c r="E170" s="41">
        <f t="shared" si="233"/>
        <v>1</v>
      </c>
      <c r="F170" s="224">
        <v>1</v>
      </c>
      <c r="G170" s="160"/>
      <c r="H170" s="160"/>
      <c r="I170" s="145">
        <f t="shared" si="224"/>
        <v>1</v>
      </c>
      <c r="J170" s="224">
        <v>1</v>
      </c>
      <c r="K170" s="159"/>
      <c r="L170" s="159"/>
      <c r="M170" s="154">
        <f t="shared" si="232"/>
        <v>4.9470805261646653</v>
      </c>
      <c r="N170" s="224">
        <v>1</v>
      </c>
      <c r="O170" s="224">
        <v>1</v>
      </c>
      <c r="P170" s="145"/>
      <c r="Q170" s="145"/>
      <c r="R170" s="145"/>
      <c r="S170" s="145"/>
      <c r="T170" s="145"/>
      <c r="U170" s="159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HJ170" s="155"/>
      <c r="HK170" s="155"/>
    </row>
    <row r="171" spans="1:219" s="154" customFormat="1" ht="15" x14ac:dyDescent="0.25">
      <c r="A171" s="223">
        <f t="shared" si="231"/>
        <v>73</v>
      </c>
      <c r="B171" s="155" t="s">
        <v>103</v>
      </c>
      <c r="C171" s="40"/>
      <c r="D171" s="155"/>
      <c r="E171" s="41">
        <f t="shared" si="233"/>
        <v>1</v>
      </c>
      <c r="F171" s="224">
        <v>1</v>
      </c>
      <c r="G171" s="160"/>
      <c r="H171" s="160"/>
      <c r="I171" s="145">
        <f t="shared" si="224"/>
        <v>1</v>
      </c>
      <c r="J171" s="224">
        <v>1</v>
      </c>
      <c r="K171" s="159"/>
      <c r="L171" s="159"/>
      <c r="M171" s="163">
        <f t="shared" ref="M171:M182" si="234">M167*1</f>
        <v>4.9470805261646653</v>
      </c>
      <c r="N171" s="224">
        <v>1</v>
      </c>
      <c r="O171" s="224">
        <v>1</v>
      </c>
      <c r="P171" s="145"/>
      <c r="Q171" s="145"/>
      <c r="R171" s="145"/>
      <c r="S171" s="145"/>
      <c r="T171" s="145"/>
      <c r="U171" s="159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HJ171" s="155"/>
      <c r="HK171" s="155"/>
    </row>
    <row r="172" spans="1:219" s="154" customFormat="1" ht="15" x14ac:dyDescent="0.25">
      <c r="A172" s="223">
        <f t="shared" si="231"/>
        <v>74</v>
      </c>
      <c r="B172" s="155" t="s">
        <v>104</v>
      </c>
      <c r="C172" s="40"/>
      <c r="D172" s="155"/>
      <c r="E172" s="41">
        <f t="shared" si="233"/>
        <v>1</v>
      </c>
      <c r="F172" s="224">
        <v>1</v>
      </c>
      <c r="G172" s="160"/>
      <c r="H172" s="160"/>
      <c r="I172" s="145">
        <f t="shared" si="224"/>
        <v>1</v>
      </c>
      <c r="J172" s="224">
        <v>1</v>
      </c>
      <c r="K172" s="159"/>
      <c r="L172" s="159"/>
      <c r="M172" s="163">
        <f t="shared" si="234"/>
        <v>4.9470805261646653</v>
      </c>
      <c r="N172" s="224">
        <v>1</v>
      </c>
      <c r="O172" s="224">
        <v>1</v>
      </c>
      <c r="P172" s="145"/>
      <c r="Q172" s="145"/>
      <c r="R172" s="145"/>
      <c r="S172" s="145"/>
      <c r="T172" s="145"/>
      <c r="U172" s="159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HJ172" s="155"/>
      <c r="HK172" s="155"/>
    </row>
    <row r="173" spans="1:219" s="154" customFormat="1" ht="15" x14ac:dyDescent="0.25">
      <c r="A173" s="223">
        <f t="shared" si="231"/>
        <v>75</v>
      </c>
      <c r="B173" s="155" t="s">
        <v>105</v>
      </c>
      <c r="C173" s="40"/>
      <c r="D173" s="155"/>
      <c r="E173" s="41">
        <f t="shared" si="233"/>
        <v>1</v>
      </c>
      <c r="F173" s="224">
        <v>1</v>
      </c>
      <c r="G173" s="160"/>
      <c r="H173" s="160"/>
      <c r="I173" s="145">
        <f t="shared" si="224"/>
        <v>1</v>
      </c>
      <c r="J173" s="224">
        <v>1</v>
      </c>
      <c r="K173" s="159"/>
      <c r="L173" s="159"/>
      <c r="M173" s="163">
        <f t="shared" si="234"/>
        <v>4.9470805261646653</v>
      </c>
      <c r="N173" s="224">
        <v>1</v>
      </c>
      <c r="O173" s="224">
        <v>1</v>
      </c>
      <c r="P173" s="145"/>
      <c r="Q173" s="145"/>
      <c r="R173" s="145"/>
      <c r="S173" s="145"/>
      <c r="T173" s="145"/>
      <c r="U173" s="159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HJ173" s="155"/>
      <c r="HK173" s="155"/>
    </row>
    <row r="174" spans="1:219" s="154" customFormat="1" ht="15" x14ac:dyDescent="0.25">
      <c r="A174" s="223">
        <f t="shared" si="231"/>
        <v>76</v>
      </c>
      <c r="B174" s="155" t="s">
        <v>106</v>
      </c>
      <c r="C174" s="40"/>
      <c r="D174" s="155"/>
      <c r="E174" s="41">
        <f t="shared" si="233"/>
        <v>1</v>
      </c>
      <c r="F174" s="224">
        <v>1</v>
      </c>
      <c r="G174" s="160"/>
      <c r="H174" s="160"/>
      <c r="I174" s="145">
        <f t="shared" si="224"/>
        <v>1</v>
      </c>
      <c r="J174" s="224">
        <v>1</v>
      </c>
      <c r="K174" s="159"/>
      <c r="L174" s="159"/>
      <c r="M174" s="163">
        <f t="shared" si="234"/>
        <v>4.9470805261646653</v>
      </c>
      <c r="N174" s="224">
        <v>1</v>
      </c>
      <c r="O174" s="224">
        <v>1</v>
      </c>
      <c r="P174" s="145"/>
      <c r="Q174" s="145"/>
      <c r="R174" s="145"/>
      <c r="S174" s="145"/>
      <c r="T174" s="145"/>
      <c r="U174" s="159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HJ174" s="155"/>
      <c r="HK174" s="155"/>
    </row>
    <row r="175" spans="1:219" s="154" customFormat="1" ht="15" x14ac:dyDescent="0.25">
      <c r="A175" s="223">
        <f t="shared" si="231"/>
        <v>77</v>
      </c>
      <c r="B175" s="155" t="s">
        <v>107</v>
      </c>
      <c r="C175" s="40"/>
      <c r="D175" s="155"/>
      <c r="E175" s="41">
        <f t="shared" si="233"/>
        <v>1</v>
      </c>
      <c r="F175" s="224">
        <v>1</v>
      </c>
      <c r="G175" s="160"/>
      <c r="H175" s="160"/>
      <c r="I175" s="145">
        <f t="shared" si="224"/>
        <v>1</v>
      </c>
      <c r="J175" s="224">
        <v>1</v>
      </c>
      <c r="K175" s="159"/>
      <c r="L175" s="159"/>
      <c r="M175" s="163">
        <f t="shared" si="234"/>
        <v>4.9470805261646653</v>
      </c>
      <c r="N175" s="224">
        <v>1</v>
      </c>
      <c r="O175" s="224">
        <v>1</v>
      </c>
      <c r="P175" s="145"/>
      <c r="Q175" s="145"/>
      <c r="R175" s="145"/>
      <c r="S175" s="145"/>
      <c r="T175" s="145"/>
      <c r="U175" s="159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HJ175" s="155"/>
      <c r="HK175" s="155"/>
    </row>
    <row r="176" spans="1:219" s="154" customFormat="1" ht="15" x14ac:dyDescent="0.25">
      <c r="A176" s="223">
        <f t="shared" si="231"/>
        <v>78</v>
      </c>
      <c r="B176" s="155" t="s">
        <v>108</v>
      </c>
      <c r="C176" s="40"/>
      <c r="D176" s="155"/>
      <c r="E176" s="41">
        <f t="shared" si="233"/>
        <v>1</v>
      </c>
      <c r="F176" s="224">
        <v>1</v>
      </c>
      <c r="G176" s="160"/>
      <c r="H176" s="160"/>
      <c r="I176" s="145">
        <f t="shared" si="224"/>
        <v>1</v>
      </c>
      <c r="J176" s="224">
        <v>1</v>
      </c>
      <c r="K176" s="159"/>
      <c r="L176" s="159"/>
      <c r="M176" s="163">
        <f t="shared" si="234"/>
        <v>4.9470805261646653</v>
      </c>
      <c r="N176" s="224">
        <v>1</v>
      </c>
      <c r="O176" s="224">
        <v>1</v>
      </c>
      <c r="P176" s="145"/>
      <c r="Q176" s="145"/>
      <c r="R176" s="145"/>
      <c r="S176" s="145"/>
      <c r="T176" s="145"/>
      <c r="U176" s="159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HJ176" s="155"/>
      <c r="HK176" s="155"/>
    </row>
    <row r="177" spans="1:219" s="154" customFormat="1" ht="15" x14ac:dyDescent="0.25">
      <c r="A177" s="223">
        <f t="shared" si="231"/>
        <v>79</v>
      </c>
      <c r="B177" s="155" t="s">
        <v>109</v>
      </c>
      <c r="C177" s="40"/>
      <c r="D177" s="155"/>
      <c r="E177" s="41">
        <f t="shared" si="233"/>
        <v>1</v>
      </c>
      <c r="F177" s="224">
        <v>1</v>
      </c>
      <c r="G177" s="160"/>
      <c r="H177" s="160"/>
      <c r="I177" s="145">
        <f t="shared" si="224"/>
        <v>1</v>
      </c>
      <c r="J177" s="224">
        <v>1</v>
      </c>
      <c r="K177" s="159"/>
      <c r="L177" s="159"/>
      <c r="M177" s="163">
        <f t="shared" si="234"/>
        <v>4.9470805261646653</v>
      </c>
      <c r="N177" s="224">
        <v>1</v>
      </c>
      <c r="O177" s="224">
        <v>1</v>
      </c>
      <c r="P177" s="145"/>
      <c r="Q177" s="145"/>
      <c r="R177" s="145"/>
      <c r="S177" s="145"/>
      <c r="T177" s="145"/>
      <c r="U177" s="159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HJ177" s="155"/>
      <c r="HK177" s="155"/>
    </row>
    <row r="178" spans="1:219" s="154" customFormat="1" ht="15" x14ac:dyDescent="0.25">
      <c r="A178" s="223">
        <f t="shared" si="231"/>
        <v>80</v>
      </c>
      <c r="B178" s="155" t="s">
        <v>110</v>
      </c>
      <c r="C178" s="40"/>
      <c r="D178" s="155"/>
      <c r="E178" s="41">
        <f t="shared" si="233"/>
        <v>1</v>
      </c>
      <c r="F178" s="224">
        <v>1</v>
      </c>
      <c r="G178" s="160"/>
      <c r="H178" s="160"/>
      <c r="I178" s="145">
        <f t="shared" si="224"/>
        <v>1</v>
      </c>
      <c r="J178" s="224">
        <v>1</v>
      </c>
      <c r="K178" s="159"/>
      <c r="L178" s="159"/>
      <c r="M178" s="163">
        <f t="shared" si="234"/>
        <v>4.9470805261646653</v>
      </c>
      <c r="N178" s="224">
        <v>1</v>
      </c>
      <c r="O178" s="224">
        <v>1</v>
      </c>
      <c r="P178" s="145"/>
      <c r="Q178" s="145"/>
      <c r="R178" s="145"/>
      <c r="S178" s="145"/>
      <c r="T178" s="145"/>
      <c r="U178" s="159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HJ178" s="155"/>
      <c r="HK178" s="155"/>
    </row>
    <row r="179" spans="1:219" s="154" customFormat="1" ht="15" x14ac:dyDescent="0.25">
      <c r="A179" s="223">
        <f t="shared" si="231"/>
        <v>81</v>
      </c>
      <c r="B179" s="155" t="s">
        <v>111</v>
      </c>
      <c r="C179" s="40"/>
      <c r="D179" s="155"/>
      <c r="E179" s="41">
        <f t="shared" si="233"/>
        <v>1</v>
      </c>
      <c r="F179" s="224">
        <v>1</v>
      </c>
      <c r="G179" s="160"/>
      <c r="H179" s="160"/>
      <c r="I179" s="145">
        <f t="shared" si="224"/>
        <v>1</v>
      </c>
      <c r="J179" s="224">
        <v>1</v>
      </c>
      <c r="K179" s="159"/>
      <c r="L179" s="159"/>
      <c r="M179" s="163">
        <f t="shared" si="234"/>
        <v>4.9470805261646653</v>
      </c>
      <c r="N179" s="224">
        <v>1</v>
      </c>
      <c r="O179" s="224">
        <v>1</v>
      </c>
      <c r="P179" s="145"/>
      <c r="Q179" s="145"/>
      <c r="R179" s="145"/>
      <c r="S179" s="145"/>
      <c r="T179" s="145"/>
      <c r="U179" s="159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HJ179" s="155"/>
      <c r="HK179" s="155"/>
    </row>
    <row r="180" spans="1:219" s="154" customFormat="1" ht="15" x14ac:dyDescent="0.25">
      <c r="A180" s="223">
        <f t="shared" si="231"/>
        <v>82</v>
      </c>
      <c r="B180" s="155" t="s">
        <v>112</v>
      </c>
      <c r="C180" s="40"/>
      <c r="D180" s="155"/>
      <c r="E180" s="41">
        <f t="shared" si="233"/>
        <v>1</v>
      </c>
      <c r="F180" s="224">
        <v>1</v>
      </c>
      <c r="G180" s="160"/>
      <c r="H180" s="160"/>
      <c r="I180" s="145">
        <f t="shared" si="224"/>
        <v>1</v>
      </c>
      <c r="J180" s="224">
        <v>1</v>
      </c>
      <c r="K180" s="159"/>
      <c r="L180" s="159"/>
      <c r="M180" s="163">
        <f t="shared" si="234"/>
        <v>4.9470805261646653</v>
      </c>
      <c r="N180" s="224">
        <v>1</v>
      </c>
      <c r="O180" s="224">
        <v>1</v>
      </c>
      <c r="P180" s="145"/>
      <c r="Q180" s="145"/>
      <c r="R180" s="145"/>
      <c r="S180" s="145"/>
      <c r="T180" s="145"/>
      <c r="U180" s="159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HJ180" s="155"/>
      <c r="HK180" s="155"/>
    </row>
    <row r="181" spans="1:219" s="154" customFormat="1" ht="15" x14ac:dyDescent="0.25">
      <c r="A181" s="223">
        <f t="shared" si="231"/>
        <v>83</v>
      </c>
      <c r="B181" s="155" t="s">
        <v>113</v>
      </c>
      <c r="C181" s="40"/>
      <c r="D181" s="155"/>
      <c r="E181" s="41">
        <f t="shared" si="233"/>
        <v>1</v>
      </c>
      <c r="F181" s="224">
        <v>1</v>
      </c>
      <c r="G181" s="160"/>
      <c r="H181" s="160"/>
      <c r="I181" s="145">
        <f t="shared" si="224"/>
        <v>1</v>
      </c>
      <c r="J181" s="224">
        <v>1</v>
      </c>
      <c r="K181" s="159"/>
      <c r="L181" s="159"/>
      <c r="M181" s="163">
        <f t="shared" si="234"/>
        <v>4.9470805261646653</v>
      </c>
      <c r="N181" s="224">
        <v>1</v>
      </c>
      <c r="O181" s="224">
        <v>1</v>
      </c>
      <c r="P181" s="145"/>
      <c r="Q181" s="145"/>
      <c r="R181" s="145"/>
      <c r="S181" s="145"/>
      <c r="T181" s="145"/>
      <c r="U181" s="159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HJ181" s="155"/>
      <c r="HK181" s="155"/>
    </row>
    <row r="182" spans="1:219" s="154" customFormat="1" ht="15" x14ac:dyDescent="0.25">
      <c r="A182" s="223">
        <f t="shared" si="231"/>
        <v>84</v>
      </c>
      <c r="B182" s="155" t="s">
        <v>114</v>
      </c>
      <c r="C182" s="40"/>
      <c r="D182" s="155"/>
      <c r="E182" s="41">
        <f t="shared" si="233"/>
        <v>1</v>
      </c>
      <c r="F182" s="224">
        <v>1</v>
      </c>
      <c r="G182" s="160"/>
      <c r="H182" s="160"/>
      <c r="I182" s="145">
        <f t="shared" si="224"/>
        <v>1</v>
      </c>
      <c r="J182" s="224">
        <v>1</v>
      </c>
      <c r="K182" s="159"/>
      <c r="L182" s="159"/>
      <c r="M182" s="163">
        <f t="shared" si="234"/>
        <v>4.9470805261646653</v>
      </c>
      <c r="N182" s="224">
        <v>1</v>
      </c>
      <c r="O182" s="224">
        <v>1</v>
      </c>
      <c r="P182" s="145"/>
      <c r="Q182" s="145"/>
      <c r="R182" s="145"/>
      <c r="S182" s="145"/>
      <c r="T182" s="145"/>
      <c r="U182" s="159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HJ182" s="155"/>
      <c r="HK182" s="155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11" priority="14" operator="equal">
      <formula>1</formula>
    </cfRule>
  </conditionalFormatting>
  <conditionalFormatting sqref="DW6:ET91 GI6:HF91 N159:O182 F159:F182 J159:J182 BK6:CH91 CQ6:DN91 FC6:FZ91">
    <cfRule type="cellIs" dxfId="10" priority="13" operator="equal">
      <formula>1</formula>
    </cfRule>
  </conditionalFormatting>
  <conditionalFormatting sqref="C159:C182">
    <cfRule type="containsBlanks" dxfId="9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6"/>
  <sheetViews>
    <sheetView workbookViewId="0">
      <selection activeCell="D41" sqref="D41"/>
    </sheetView>
  </sheetViews>
  <sheetFormatPr defaultColWidth="9.140625" defaultRowHeight="15" x14ac:dyDescent="0.25"/>
  <cols>
    <col min="1" max="1" width="5.140625" style="154" bestFit="1" customWidth="1"/>
    <col min="2" max="2" width="13.7109375" style="154" customWidth="1"/>
    <col min="3" max="3" width="43" style="154" customWidth="1"/>
    <col min="4" max="4" width="12.7109375" style="154" customWidth="1"/>
    <col min="5" max="5" width="28.28515625" style="154" customWidth="1"/>
    <col min="6" max="6" width="18.28515625" style="154" customWidth="1"/>
    <col min="7" max="16384" width="9.140625" style="154"/>
  </cols>
  <sheetData>
    <row r="1" spans="1:6" x14ac:dyDescent="0.25">
      <c r="A1" s="455"/>
      <c r="B1" s="163"/>
      <c r="C1" s="163"/>
      <c r="D1" s="456"/>
      <c r="E1" s="574" t="s">
        <v>1380</v>
      </c>
      <c r="F1" s="574"/>
    </row>
    <row r="2" spans="1:6" ht="15" customHeight="1" x14ac:dyDescent="0.25">
      <c r="A2" s="455"/>
      <c r="B2" s="163"/>
      <c r="C2" s="163"/>
      <c r="D2" s="457"/>
      <c r="E2" s="578" t="str">
        <f>IF('Расчет стоимости'!$P$13&lt;35,"           ","Заместитель генерального директора по инвестиционной деятельности 
''ПАО МРСК Северо-Запада''")</f>
        <v xml:space="preserve">           </v>
      </c>
      <c r="F2" s="578"/>
    </row>
    <row r="3" spans="1:6" ht="35.25" customHeight="1" x14ac:dyDescent="0.25">
      <c r="A3" s="455"/>
      <c r="B3" s="163"/>
      <c r="C3" s="163"/>
      <c r="D3" s="458"/>
      <c r="E3" s="578"/>
      <c r="F3" s="578"/>
    </row>
    <row r="4" spans="1:6" x14ac:dyDescent="0.25">
      <c r="A4" s="455"/>
      <c r="B4" s="163"/>
      <c r="C4" s="163"/>
      <c r="D4" s="457"/>
      <c r="E4" s="575" t="str">
        <f>IF('Расчет стоимости'!$P$13&lt;35,"________________________________ /___________/","________________________________ /B.B. Нестеренко/")</f>
        <v>________________________________ /___________/</v>
      </c>
      <c r="F4" s="576"/>
    </row>
    <row r="5" spans="1:6" x14ac:dyDescent="0.25">
      <c r="A5" s="455"/>
      <c r="B5" s="163"/>
      <c r="C5" s="163"/>
      <c r="D5" s="459"/>
      <c r="E5" s="688">
        <f ca="1">TODAY()</f>
        <v>43886</v>
      </c>
      <c r="F5" s="688"/>
    </row>
    <row r="6" spans="1:6" x14ac:dyDescent="0.25">
      <c r="A6" s="455"/>
      <c r="B6" s="455"/>
      <c r="C6" s="455"/>
      <c r="D6" s="455"/>
      <c r="E6" s="455"/>
      <c r="F6" s="455"/>
    </row>
    <row r="7" spans="1:6" ht="48" customHeight="1" x14ac:dyDescent="0.25">
      <c r="A7" s="689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I_007-55-1-01.32-1876. ''Реконструкция ВЛ 10 кВ яч.5Д ПС 110/10 кВ «Мордино» с заменой неизолированного провода на СИП протяженностью 14,75 км  в Корткеросском районе ''</v>
      </c>
      <c r="B7" s="689"/>
      <c r="C7" s="689"/>
      <c r="D7" s="689"/>
      <c r="E7" s="689"/>
      <c r="F7" s="689"/>
    </row>
    <row r="8" spans="1:6" x14ac:dyDescent="0.25">
      <c r="A8" s="690"/>
      <c r="B8" s="690"/>
      <c r="C8" s="690"/>
      <c r="D8" s="690"/>
      <c r="E8" s="690"/>
      <c r="F8" s="690"/>
    </row>
    <row r="9" spans="1:6" x14ac:dyDescent="0.25">
      <c r="A9" s="455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2022 г.</v>
      </c>
      <c r="B9" s="460"/>
      <c r="C9" s="460"/>
      <c r="D9" s="460"/>
      <c r="E9" s="460"/>
      <c r="F9" s="460"/>
    </row>
    <row r="10" spans="1:6" ht="15.75" thickBot="1" x14ac:dyDescent="0.3">
      <c r="A10" s="281"/>
      <c r="B10" s="281"/>
      <c r="C10" s="281"/>
      <c r="D10" s="281"/>
      <c r="E10" s="281"/>
      <c r="F10" s="281"/>
    </row>
    <row r="11" spans="1:6" x14ac:dyDescent="0.25">
      <c r="A11" s="691" t="s">
        <v>325</v>
      </c>
      <c r="B11" s="694" t="s">
        <v>1381</v>
      </c>
      <c r="C11" s="695"/>
      <c r="D11" s="696"/>
      <c r="E11" s="703" t="s">
        <v>13</v>
      </c>
      <c r="F11" s="706" t="s">
        <v>1382</v>
      </c>
    </row>
    <row r="12" spans="1:6" x14ac:dyDescent="0.25">
      <c r="A12" s="692"/>
      <c r="B12" s="697"/>
      <c r="C12" s="698"/>
      <c r="D12" s="699"/>
      <c r="E12" s="704"/>
      <c r="F12" s="707"/>
    </row>
    <row r="13" spans="1:6" x14ac:dyDescent="0.25">
      <c r="A13" s="692"/>
      <c r="B13" s="697"/>
      <c r="C13" s="698"/>
      <c r="D13" s="699"/>
      <c r="E13" s="704"/>
      <c r="F13" s="707"/>
    </row>
    <row r="14" spans="1:6" ht="15.75" thickBot="1" x14ac:dyDescent="0.3">
      <c r="A14" s="693"/>
      <c r="B14" s="700"/>
      <c r="C14" s="701"/>
      <c r="D14" s="702"/>
      <c r="E14" s="705"/>
      <c r="F14" s="708"/>
    </row>
    <row r="15" spans="1:6" ht="29.25" customHeight="1" x14ac:dyDescent="0.25">
      <c r="A15" s="376">
        <v>1</v>
      </c>
      <c r="B15" s="709" t="s">
        <v>1363</v>
      </c>
      <c r="C15" s="709"/>
      <c r="D15" s="709"/>
      <c r="E15" s="283" t="s">
        <v>1383</v>
      </c>
      <c r="F15" s="284">
        <f ca="1">'НМЦ лота'!I15</f>
        <v>470.88923825569441</v>
      </c>
    </row>
    <row r="16" spans="1:6" ht="29.25" customHeight="1" x14ac:dyDescent="0.25">
      <c r="A16" s="377">
        <v>2</v>
      </c>
      <c r="B16" s="682" t="s">
        <v>1384</v>
      </c>
      <c r="C16" s="683"/>
      <c r="D16" s="684"/>
      <c r="E16" s="285"/>
      <c r="F16" s="286">
        <f ca="1">F15</f>
        <v>470.88923825569441</v>
      </c>
    </row>
    <row r="17" spans="1:9" ht="29.25" customHeight="1" x14ac:dyDescent="0.25">
      <c r="A17" s="287">
        <v>3</v>
      </c>
      <c r="B17" s="682" t="s">
        <v>1385</v>
      </c>
      <c r="C17" s="683"/>
      <c r="D17" s="684"/>
      <c r="E17" s="288"/>
      <c r="F17" s="289">
        <f>'Расчет стоимости'!E329</f>
        <v>3.53</v>
      </c>
    </row>
    <row r="18" spans="1:9" ht="29.25" customHeight="1" x14ac:dyDescent="0.25">
      <c r="A18" s="378">
        <v>4</v>
      </c>
      <c r="B18" s="682" t="s">
        <v>1386</v>
      </c>
      <c r="C18" s="683"/>
      <c r="D18" s="684"/>
      <c r="E18" s="290"/>
      <c r="F18" s="291">
        <f ca="1">ROUND(F16*F17,5)</f>
        <v>1662.23901</v>
      </c>
    </row>
    <row r="19" spans="1:9" ht="29.25" customHeight="1" x14ac:dyDescent="0.25">
      <c r="A19" s="378">
        <v>5</v>
      </c>
      <c r="B19" s="682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2022 года: 1,743</v>
      </c>
      <c r="C19" s="683"/>
      <c r="D19" s="684"/>
      <c r="E19" s="290"/>
      <c r="F19" s="292">
        <f>'НМЦ лота'!E21</f>
        <v>1.7425958969707436</v>
      </c>
    </row>
    <row r="20" spans="1:9" ht="29.25" customHeight="1" x14ac:dyDescent="0.25">
      <c r="A20" s="378">
        <v>6</v>
      </c>
      <c r="B20" s="682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2022 году (НМЦ лота)</v>
      </c>
      <c r="C20" s="683"/>
      <c r="D20" s="684"/>
      <c r="E20" s="290"/>
      <c r="F20" s="291">
        <f ca="1">ROUND(F18*F19,5)</f>
        <v>2896.6108800000002</v>
      </c>
    </row>
    <row r="21" spans="1:9" ht="29.25" customHeight="1" x14ac:dyDescent="0.25">
      <c r="A21" s="378">
        <v>7</v>
      </c>
      <c r="B21" s="682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2022 году (в соответствии с действующей методикой снижения затрат)</v>
      </c>
      <c r="C21" s="683"/>
      <c r="D21" s="684"/>
      <c r="E21" s="290"/>
      <c r="F21" s="292">
        <f>'НМЦ лота'!E27</f>
        <v>0.7</v>
      </c>
    </row>
    <row r="22" spans="1:9" ht="29.25" customHeight="1" x14ac:dyDescent="0.25">
      <c r="A22" s="378">
        <v>8</v>
      </c>
      <c r="B22" s="682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2022 году (НМЦ лота с учетом снижения)</v>
      </c>
      <c r="C22" s="683"/>
      <c r="D22" s="684"/>
      <c r="E22" s="290"/>
      <c r="F22" s="491">
        <f ca="1">ROUND(F20*F21,5)</f>
        <v>2027.62762</v>
      </c>
    </row>
    <row r="23" spans="1:9" ht="29.25" customHeight="1" x14ac:dyDescent="0.25">
      <c r="A23" s="378">
        <v>9</v>
      </c>
      <c r="B23" s="682" t="s">
        <v>1387</v>
      </c>
      <c r="C23" s="683"/>
      <c r="D23" s="684"/>
      <c r="E23" s="290"/>
      <c r="F23" s="291">
        <f ca="1">ROUND(F22*0.18,2)</f>
        <v>364.97</v>
      </c>
    </row>
    <row r="24" spans="1:9" ht="29.25" customHeight="1" thickBot="1" x14ac:dyDescent="0.3">
      <c r="A24" s="293">
        <v>10</v>
      </c>
      <c r="B24" s="685" t="s">
        <v>1388</v>
      </c>
      <c r="C24" s="686"/>
      <c r="D24" s="687"/>
      <c r="E24" s="294"/>
      <c r="F24" s="295">
        <f ca="1">SUM(F22:F23)</f>
        <v>2392.59762</v>
      </c>
    </row>
    <row r="25" spans="1:9" x14ac:dyDescent="0.25">
      <c r="A25" s="296"/>
      <c r="B25" s="296"/>
      <c r="C25" s="296"/>
      <c r="D25" s="296"/>
      <c r="E25" s="296"/>
      <c r="F25" s="296"/>
    </row>
    <row r="26" spans="1:9" x14ac:dyDescent="0.25">
      <c r="A26" s="452"/>
      <c r="B26" s="452" t="str">
        <f>'[3]Расчет стоимости'!C377</f>
        <v>Составил: Ведущий инженер Сивергин А.Н.</v>
      </c>
      <c r="C26" s="453"/>
      <c r="D26" s="453"/>
      <c r="E26" s="453"/>
      <c r="F26" s="454"/>
    </row>
    <row r="27" spans="1:9" x14ac:dyDescent="0.25">
      <c r="A27" s="452"/>
      <c r="B27" s="452"/>
      <c r="C27" s="452"/>
      <c r="D27" s="452"/>
      <c r="E27" s="452"/>
      <c r="F27" s="454"/>
    </row>
    <row r="28" spans="1:9" ht="27.75" customHeight="1" x14ac:dyDescent="0.25">
      <c r="A28" s="452"/>
      <c r="B28" s="680" t="str">
        <f>'[3]Расчет стоимости'!C379</f>
        <v>Проверил: Заместитель директора по капитальному строительству производственного отделения - начальник отдела Запрягаев А.М.</v>
      </c>
      <c r="C28" s="681"/>
      <c r="D28" s="681"/>
      <c r="E28" s="453"/>
      <c r="F28" s="454"/>
    </row>
    <row r="29" spans="1:9" x14ac:dyDescent="0.25">
      <c r="A29" s="163"/>
      <c r="B29" s="163"/>
      <c r="C29" s="163"/>
      <c r="D29" s="163"/>
      <c r="E29" s="163"/>
      <c r="F29" s="163"/>
    </row>
    <row r="30" spans="1:9" x14ac:dyDescent="0.25">
      <c r="A30" s="163"/>
      <c r="B30" s="494" t="s">
        <v>1394</v>
      </c>
      <c r="C30" s="380"/>
      <c r="D30" s="381"/>
      <c r="E30" s="381"/>
      <c r="F30" s="381"/>
      <c r="G30" s="462"/>
      <c r="H30" s="462"/>
      <c r="I30" s="462"/>
    </row>
    <row r="31" spans="1:9" x14ac:dyDescent="0.25">
      <c r="A31" s="163"/>
      <c r="B31" s="380"/>
      <c r="C31" s="380"/>
      <c r="D31" s="381"/>
      <c r="E31" s="381"/>
      <c r="F31" s="381"/>
      <c r="G31" s="462"/>
      <c r="H31" s="462"/>
      <c r="I31" s="462"/>
    </row>
    <row r="32" spans="1:9" x14ac:dyDescent="0.25">
      <c r="B32" s="461"/>
      <c r="C32" s="461"/>
      <c r="D32" s="462"/>
      <c r="E32" s="462"/>
      <c r="F32" s="462"/>
      <c r="G32" s="462"/>
      <c r="H32" s="462"/>
      <c r="I32" s="462"/>
    </row>
    <row r="33" spans="2:9" x14ac:dyDescent="0.25">
      <c r="B33" s="463" t="str">
        <f>IF('Расчет стоимости'!$P$13&lt;35,"            ","СОГЛАСОВАНО:")</f>
        <v xml:space="preserve">            </v>
      </c>
      <c r="C33" s="145"/>
      <c r="D33" s="464"/>
      <c r="E33" s="462"/>
      <c r="F33" s="462"/>
      <c r="G33" s="462"/>
      <c r="H33" s="462"/>
      <c r="I33" s="462"/>
    </row>
    <row r="34" spans="2:9" x14ac:dyDescent="0.25">
      <c r="B34" s="463" t="str">
        <f>IF('Расчет стоимости'!$P$13&lt;35,"            ","Начальник департамента капитального строительства ''ПАО МРСК Северо-Запада''")</f>
        <v xml:space="preserve">            </v>
      </c>
      <c r="C34" s="465"/>
      <c r="D34" s="465"/>
      <c r="E34" s="462"/>
      <c r="F34" s="462" t="str">
        <f>IF('Расчет стоимости'!$P$13&lt;35,"      ","___________ /Э.Б. Михневич/")</f>
        <v xml:space="preserve">      </v>
      </c>
      <c r="G34" s="462"/>
      <c r="H34" s="145"/>
    </row>
    <row r="35" spans="2:9" x14ac:dyDescent="0.25">
      <c r="B35" s="463"/>
      <c r="C35" s="465"/>
      <c r="D35" s="465"/>
      <c r="E35" s="462"/>
      <c r="F35" s="462"/>
      <c r="G35" s="462"/>
      <c r="H35" s="145"/>
    </row>
    <row r="36" spans="2:9" x14ac:dyDescent="0.25">
      <c r="B36" s="463" t="str">
        <f>IF('Расчет стоимости'!$P$13&lt;35,"              ","Начальник отдела проектов и сметного нормирования")</f>
        <v xml:space="preserve">              </v>
      </c>
      <c r="C36" s="465"/>
      <c r="D36" s="465"/>
      <c r="E36" s="462"/>
      <c r="F36" s="462" t="str">
        <f>IF('Расчет стоимости'!$P$13&lt;35,"      ","___________ /Т.В. Судакова/")</f>
        <v xml:space="preserve">      </v>
      </c>
      <c r="G36" s="462"/>
      <c r="H36" s="145"/>
    </row>
  </sheetData>
  <sheetProtection formatCells="0" formatColumns="0" formatRows="0"/>
  <mergeCells count="21"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  <mergeCell ref="B28:D28"/>
    <mergeCell ref="B23:D23"/>
    <mergeCell ref="B24:D24"/>
    <mergeCell ref="B17:D17"/>
    <mergeCell ref="B18:D18"/>
    <mergeCell ref="B19:D19"/>
    <mergeCell ref="B20:D20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workbookViewId="0">
      <selection activeCell="D41" sqref="D41"/>
    </sheetView>
  </sheetViews>
  <sheetFormatPr defaultColWidth="9.140625" defaultRowHeight="15" x14ac:dyDescent="0.25"/>
  <cols>
    <col min="1" max="1" width="16.85546875" style="43" customWidth="1"/>
    <col min="2" max="2" width="9.140625" style="43"/>
    <col min="3" max="3" width="12.42578125" style="43" bestFit="1" customWidth="1"/>
    <col min="4" max="4" width="10.140625" style="43" bestFit="1" customWidth="1"/>
    <col min="5" max="5" width="12.7109375" style="43" customWidth="1"/>
    <col min="6" max="6" width="16.85546875" style="43" customWidth="1"/>
    <col min="7" max="8" width="9.140625" style="43"/>
    <col min="9" max="9" width="10.140625" style="43" bestFit="1" customWidth="1"/>
    <col min="10" max="10" width="13" style="43" customWidth="1"/>
    <col min="11" max="16384" width="9.140625" style="43"/>
  </cols>
  <sheetData>
    <row r="1" spans="1:15" x14ac:dyDescent="0.25">
      <c r="A1" s="43" t="str">
        <f>'Расчет стоимости'!C5</f>
        <v>I_007-55-1-01.32-1876</v>
      </c>
    </row>
    <row r="2" spans="1:15" ht="49.5" customHeight="1" x14ac:dyDescent="0.25">
      <c r="A2" s="710" t="str">
        <f>'Расчет стоимости'!C6</f>
        <v xml:space="preserve">Реконструкция ВЛ 10 кВ яч.5Д ПС 110/10 кВ «Мордино» с заменой неизолированного провода на СИП протяженностью 14,75 км  в Корткеросском районе </v>
      </c>
      <c r="B2" s="710"/>
      <c r="C2" s="710"/>
      <c r="D2" s="710"/>
      <c r="E2" s="710"/>
      <c r="F2" s="710"/>
      <c r="G2" s="710"/>
      <c r="H2" s="710"/>
      <c r="I2" s="710"/>
      <c r="J2" s="710"/>
      <c r="K2" s="710"/>
      <c r="L2" s="710"/>
      <c r="M2" s="710"/>
      <c r="N2" s="710"/>
      <c r="O2" s="710"/>
    </row>
    <row r="3" spans="1:15" ht="25.5" x14ac:dyDescent="0.25">
      <c r="A3" s="495">
        <f>'НМЦ лота'!E10</f>
        <v>2022</v>
      </c>
      <c r="B3" s="496" t="s">
        <v>1422</v>
      </c>
      <c r="C3" s="497">
        <f ca="1">'Расчет стоимости'!P355</f>
        <v>2165.46</v>
      </c>
      <c r="D3" s="498"/>
      <c r="E3" s="499"/>
    </row>
    <row r="4" spans="1:15" x14ac:dyDescent="0.25">
      <c r="A4" s="500"/>
      <c r="B4" s="501" t="s">
        <v>1423</v>
      </c>
      <c r="C4" s="502">
        <f ca="1">'НМЦ лота на ПИР'!F22</f>
        <v>2027.62762</v>
      </c>
      <c r="D4" s="503"/>
      <c r="E4" s="504"/>
    </row>
    <row r="5" spans="1:15" x14ac:dyDescent="0.25">
      <c r="A5" s="495"/>
      <c r="B5" s="501" t="s">
        <v>1424</v>
      </c>
      <c r="C5" s="505">
        <f ca="1">ROUND(C3-C4,5)</f>
        <v>137.83238</v>
      </c>
      <c r="D5" s="498"/>
      <c r="E5" s="506"/>
    </row>
    <row r="6" spans="1:15" ht="25.5" x14ac:dyDescent="0.25">
      <c r="A6" s="495">
        <f>'НМЦ лота'!E11</f>
        <v>2023</v>
      </c>
      <c r="B6" s="496" t="s">
        <v>1422</v>
      </c>
      <c r="C6" s="497">
        <f ca="1">F12-C3</f>
        <v>36661.120000000003</v>
      </c>
      <c r="D6" s="507"/>
      <c r="E6" s="508"/>
    </row>
    <row r="7" spans="1:15" ht="25.5" x14ac:dyDescent="0.25">
      <c r="A7" s="509"/>
      <c r="B7" s="501" t="s">
        <v>1425</v>
      </c>
      <c r="C7" s="510">
        <f ca="1">'НМЦ лота'!K39</f>
        <v>34372.052559594151</v>
      </c>
      <c r="D7" s="509"/>
      <c r="E7" s="506"/>
    </row>
    <row r="8" spans="1:15" x14ac:dyDescent="0.25">
      <c r="A8" s="498"/>
      <c r="B8" s="501" t="s">
        <v>1424</v>
      </c>
      <c r="C8" s="510">
        <f ca="1">ROUND(C6-C7,5)</f>
        <v>2289.0674399999998</v>
      </c>
      <c r="D8" s="511"/>
      <c r="E8" s="506"/>
    </row>
    <row r="10" spans="1:15" ht="15" customHeight="1" x14ac:dyDescent="0.25">
      <c r="A10" s="711" t="s">
        <v>1426</v>
      </c>
      <c r="B10" s="713" t="s">
        <v>1427</v>
      </c>
      <c r="C10" s="714"/>
      <c r="D10" s="714"/>
      <c r="E10" s="715"/>
      <c r="F10" s="711" t="s">
        <v>1428</v>
      </c>
      <c r="G10" s="713" t="s">
        <v>1427</v>
      </c>
      <c r="H10" s="714"/>
      <c r="I10" s="714"/>
      <c r="J10" s="715"/>
      <c r="K10" s="716" t="str">
        <f>CONCATENATE("КВЛ на ",A3)</f>
        <v>КВЛ на 2022</v>
      </c>
      <c r="L10" s="718" t="s">
        <v>1429</v>
      </c>
      <c r="M10" s="719"/>
      <c r="N10" s="719"/>
      <c r="O10" s="720"/>
    </row>
    <row r="11" spans="1:15" ht="58.5" customHeight="1" x14ac:dyDescent="0.25">
      <c r="A11" s="712"/>
      <c r="B11" s="512" t="s">
        <v>311</v>
      </c>
      <c r="C11" s="512" t="s">
        <v>1430</v>
      </c>
      <c r="D11" s="512" t="s">
        <v>184</v>
      </c>
      <c r="E11" s="512" t="s">
        <v>5</v>
      </c>
      <c r="F11" s="712"/>
      <c r="G11" s="512" t="s">
        <v>311</v>
      </c>
      <c r="H11" s="512" t="s">
        <v>1430</v>
      </c>
      <c r="I11" s="512" t="s">
        <v>184</v>
      </c>
      <c r="J11" s="512" t="s">
        <v>5</v>
      </c>
      <c r="K11" s="717"/>
      <c r="L11" s="513" t="s">
        <v>311</v>
      </c>
      <c r="M11" s="513" t="s">
        <v>184</v>
      </c>
      <c r="N11" s="513" t="s">
        <v>1430</v>
      </c>
      <c r="O11" s="513" t="s">
        <v>5</v>
      </c>
    </row>
    <row r="12" spans="1:15" x14ac:dyDescent="0.25">
      <c r="A12" s="514">
        <f ca="1">'Расчет стоимости'!I354</f>
        <v>55466.549999999996</v>
      </c>
      <c r="B12" s="515">
        <f ca="1">SUM('Расчет стоимости'!I355:J357)</f>
        <v>3093.52</v>
      </c>
      <c r="C12" s="515">
        <f ca="1">SUM('Расчет стоимости'!I364:J366)</f>
        <v>1750.09</v>
      </c>
      <c r="D12" s="515">
        <f ca="1">SUM('Расчет стоимости'!I358:J363)</f>
        <v>41924.949999999997</v>
      </c>
      <c r="E12" s="514">
        <f ca="1">A12-B12-C12-D12</f>
        <v>8697.9900000000052</v>
      </c>
      <c r="F12" s="514">
        <f ca="1">'Расчет стоимости'!P354</f>
        <v>38826.58</v>
      </c>
      <c r="G12" s="515">
        <f ca="1">'НМЦ лота на ПИР'!F22</f>
        <v>2027.62762</v>
      </c>
      <c r="H12" s="515">
        <f ca="1">SUM('Расчет стоимости'!O364:P366)</f>
        <v>1225.06</v>
      </c>
      <c r="I12" s="515">
        <f ca="1">SUM('Расчет стоимости'!O358:P363)</f>
        <v>29347.47</v>
      </c>
      <c r="J12" s="514">
        <f ca="1">F12-G12-H12-I12</f>
        <v>6226.4223800000036</v>
      </c>
      <c r="K12" s="516">
        <f ca="1">C3</f>
        <v>2165.46</v>
      </c>
      <c r="L12" s="516">
        <f ca="1">'НМЦ лота на ПИР'!F22</f>
        <v>2027.62762</v>
      </c>
      <c r="M12" s="516"/>
      <c r="N12" s="516"/>
      <c r="O12" s="516">
        <f ca="1">K12-M12-N12-L12</f>
        <v>137.83238000000006</v>
      </c>
    </row>
  </sheetData>
  <mergeCells count="7"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8" priority="5" operator="lessThan">
      <formula>0</formula>
    </cfRule>
    <cfRule type="cellIs" dxfId="7" priority="6" operator="equal">
      <formula>0</formula>
    </cfRule>
  </conditionalFormatting>
  <conditionalFormatting sqref="G10 G11:J11 B11:E11 A10:B10">
    <cfRule type="cellIs" dxfId="6" priority="3" operator="lessThan">
      <formula>0</formula>
    </cfRule>
    <cfRule type="cellIs" dxfId="5" priority="4" operator="equal">
      <formula>0</formula>
    </cfRule>
  </conditionalFormatting>
  <conditionalFormatting sqref="F10">
    <cfRule type="cellIs" dxfId="4" priority="1" operator="lessThan">
      <formula>0</formula>
    </cfRule>
    <cfRule type="cellIs" dxfId="3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Q42"/>
  <sheetViews>
    <sheetView topLeftCell="A7" workbookViewId="0">
      <selection activeCell="N30" sqref="N30"/>
    </sheetView>
  </sheetViews>
  <sheetFormatPr defaultColWidth="9.140625" defaultRowHeight="15" x14ac:dyDescent="0.25"/>
  <cols>
    <col min="1" max="2" width="9.140625" style="154"/>
    <col min="3" max="3" width="45" style="154" customWidth="1"/>
    <col min="4" max="4" width="12.28515625" style="154" customWidth="1"/>
    <col min="5" max="9" width="18.42578125" style="154" customWidth="1"/>
    <col min="10" max="10" width="24.140625" style="154" customWidth="1"/>
    <col min="11" max="11" width="9.140625" style="154"/>
    <col min="12" max="12" width="11" style="154" bestFit="1" customWidth="1"/>
    <col min="13" max="16384" width="9.140625" style="154"/>
  </cols>
  <sheetData>
    <row r="1" spans="1:17" x14ac:dyDescent="0.25">
      <c r="A1" s="455"/>
      <c r="B1" s="744"/>
      <c r="C1" s="744"/>
      <c r="D1" s="467"/>
      <c r="E1" s="455"/>
      <c r="F1" s="455"/>
      <c r="G1" s="468"/>
      <c r="H1" s="456"/>
      <c r="I1" s="574" t="s">
        <v>1380</v>
      </c>
      <c r="J1" s="574"/>
      <c r="Q1" s="466"/>
    </row>
    <row r="2" spans="1:17" ht="45.75" customHeight="1" x14ac:dyDescent="0.25">
      <c r="A2" s="455"/>
      <c r="B2" s="766"/>
      <c r="C2" s="766"/>
      <c r="D2" s="469"/>
      <c r="E2" s="455"/>
      <c r="F2" s="455"/>
      <c r="G2" s="457"/>
      <c r="H2" s="578" t="str">
        <f>IF('Расчет стоимости'!$P$13&lt;35,"             ","Заместитель генерального директора по инвестиционной деятельности 
''ПАО МРСК Северо-Запада''")</f>
        <v xml:space="preserve">             </v>
      </c>
      <c r="I2" s="578"/>
      <c r="J2" s="578"/>
    </row>
    <row r="3" spans="1:17" x14ac:dyDescent="0.25">
      <c r="A3" s="455"/>
      <c r="B3" s="370"/>
      <c r="C3" s="370"/>
      <c r="D3" s="469"/>
      <c r="E3" s="455"/>
      <c r="F3" s="455"/>
      <c r="G3" s="468"/>
      <c r="H3" s="375"/>
      <c r="I3" s="575" t="str">
        <f>IF('Расчет стоимости'!$P$13&lt;35,"________________________________ /___________/","________________________________ /B.B. Нестеренко/")</f>
        <v>________________________________ /___________/</v>
      </c>
      <c r="J3" s="576"/>
    </row>
    <row r="4" spans="1:17" x14ac:dyDescent="0.25">
      <c r="A4" s="455"/>
      <c r="B4" s="370"/>
      <c r="C4" s="370"/>
      <c r="D4" s="469"/>
      <c r="E4" s="455"/>
      <c r="F4" s="455"/>
      <c r="G4" s="468"/>
      <c r="H4" s="375"/>
      <c r="I4" s="688">
        <f ca="1">TODAY()</f>
        <v>43886</v>
      </c>
      <c r="J4" s="688"/>
    </row>
    <row r="5" spans="1:17" x14ac:dyDescent="0.25">
      <c r="A5" s="455"/>
      <c r="B5" s="767"/>
      <c r="C5" s="767"/>
      <c r="D5" s="470"/>
      <c r="E5" s="455"/>
      <c r="F5" s="455"/>
      <c r="G5" s="468"/>
      <c r="H5" s="459"/>
      <c r="I5" s="459"/>
      <c r="J5" s="459"/>
      <c r="Q5" s="466"/>
    </row>
    <row r="6" spans="1:17" x14ac:dyDescent="0.25">
      <c r="A6" s="768" t="s">
        <v>1396</v>
      </c>
      <c r="B6" s="768"/>
      <c r="C6" s="768"/>
      <c r="D6" s="768"/>
      <c r="E6" s="768"/>
      <c r="F6" s="768"/>
      <c r="G6" s="768"/>
      <c r="H6" s="768"/>
      <c r="I6" s="768"/>
      <c r="J6" s="768"/>
      <c r="Q6" s="466"/>
    </row>
    <row r="7" spans="1:17" x14ac:dyDescent="0.25">
      <c r="A7" s="768" t="str">
        <f>IF('Расчет стоимости'!C6="","",'Расчет стоимости'!C6)</f>
        <v xml:space="preserve">Реконструкция ВЛ 10 кВ яч.5Д ПС 110/10 кВ «Мордино» с заменой неизолированного провода на СИП протяженностью 14,75 км  в Корткеросском районе </v>
      </c>
      <c r="B7" s="768"/>
      <c r="C7" s="768"/>
      <c r="D7" s="768"/>
      <c r="E7" s="768"/>
      <c r="F7" s="768"/>
      <c r="G7" s="768"/>
      <c r="H7" s="768"/>
      <c r="I7" s="768"/>
      <c r="J7" s="768"/>
    </row>
    <row r="8" spans="1:17" x14ac:dyDescent="0.25">
      <c r="A8" s="471"/>
      <c r="B8" s="471"/>
      <c r="C8" s="163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2023 году. </v>
      </c>
      <c r="D8" s="471"/>
      <c r="E8" s="471"/>
      <c r="F8" s="471"/>
      <c r="G8" s="471"/>
      <c r="H8" s="471"/>
      <c r="I8" s="471"/>
      <c r="J8" s="471"/>
    </row>
    <row r="9" spans="1:17" ht="15.75" thickBot="1" x14ac:dyDescent="0.3">
      <c r="A9" s="281" t="str">
        <f>IF('Расчет стоимости'!C5="","",'Расчет стоимости'!C5)</f>
        <v>I_007-55-1-01.32-1876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7" x14ac:dyDescent="0.25">
      <c r="A10" s="769" t="s">
        <v>325</v>
      </c>
      <c r="B10" s="772" t="s">
        <v>1192</v>
      </c>
      <c r="C10" s="773"/>
      <c r="D10" s="774"/>
      <c r="E10" s="734" t="s">
        <v>184</v>
      </c>
      <c r="F10" s="734" t="s">
        <v>4</v>
      </c>
      <c r="G10" s="734" t="s">
        <v>259</v>
      </c>
      <c r="H10" s="734" t="s">
        <v>1193</v>
      </c>
      <c r="I10" s="734" t="s">
        <v>311</v>
      </c>
      <c r="J10" s="737" t="s">
        <v>1397</v>
      </c>
    </row>
    <row r="11" spans="1:17" x14ac:dyDescent="0.25">
      <c r="A11" s="770"/>
      <c r="B11" s="775"/>
      <c r="C11" s="776"/>
      <c r="D11" s="777"/>
      <c r="E11" s="735"/>
      <c r="F11" s="735"/>
      <c r="G11" s="735"/>
      <c r="H11" s="735"/>
      <c r="I11" s="735"/>
      <c r="J11" s="738"/>
    </row>
    <row r="12" spans="1:17" x14ac:dyDescent="0.25">
      <c r="A12" s="770"/>
      <c r="B12" s="775"/>
      <c r="C12" s="776"/>
      <c r="D12" s="777"/>
      <c r="E12" s="735"/>
      <c r="F12" s="735"/>
      <c r="G12" s="735"/>
      <c r="H12" s="735"/>
      <c r="I12" s="735"/>
      <c r="J12" s="738"/>
    </row>
    <row r="13" spans="1:17" ht="15.75" thickBot="1" x14ac:dyDescent="0.3">
      <c r="A13" s="771"/>
      <c r="B13" s="778"/>
      <c r="C13" s="779"/>
      <c r="D13" s="780"/>
      <c r="E13" s="736"/>
      <c r="F13" s="736"/>
      <c r="G13" s="736"/>
      <c r="H13" s="736"/>
      <c r="I13" s="736"/>
      <c r="J13" s="739"/>
    </row>
    <row r="14" spans="1:17" x14ac:dyDescent="0.25">
      <c r="A14" s="759">
        <v>1</v>
      </c>
      <c r="B14" s="760" t="s">
        <v>1398</v>
      </c>
      <c r="C14" s="761"/>
      <c r="D14" s="365" t="s">
        <v>310</v>
      </c>
      <c r="E14" s="366">
        <f ca="1">SUM('Расчет стоимости'!I332:J333)/(1+'Расчет стоимости'!$T$353)</f>
        <v>5350.9440000000004</v>
      </c>
      <c r="F14" s="740">
        <f ca="1">'НМЦ лота'!G15</f>
        <v>246.17214782399407</v>
      </c>
      <c r="G14" s="740">
        <f ca="1">'НМЦ лота'!H15</f>
        <v>0</v>
      </c>
      <c r="H14" s="740">
        <f ca="1">'НМЦ лота'!J15</f>
        <v>476.13461392031161</v>
      </c>
      <c r="I14" s="740">
        <f ca="1">'НМЦ лота'!I15</f>
        <v>470.88923825569441</v>
      </c>
      <c r="J14" s="741">
        <f ca="1">SUM(E14:E16,F14:I16)</f>
        <v>6544.14</v>
      </c>
    </row>
    <row r="15" spans="1:17" x14ac:dyDescent="0.25">
      <c r="A15" s="745"/>
      <c r="B15" s="762"/>
      <c r="C15" s="763"/>
      <c r="D15" s="365" t="s">
        <v>440</v>
      </c>
      <c r="E15" s="366">
        <f ca="1">SUM('Расчет стоимости'!I334:J335)/(1+'Расчет стоимости'!$T$353)</f>
        <v>0</v>
      </c>
      <c r="F15" s="722"/>
      <c r="G15" s="722"/>
      <c r="H15" s="722"/>
      <c r="I15" s="722"/>
      <c r="J15" s="742"/>
    </row>
    <row r="16" spans="1:17" x14ac:dyDescent="0.25">
      <c r="A16" s="745"/>
      <c r="B16" s="764"/>
      <c r="C16" s="765"/>
      <c r="D16" s="365" t="s">
        <v>187</v>
      </c>
      <c r="E16" s="366">
        <f ca="1">SUM('Расчет стоимости'!I336:J337)/(1+'Расчет стоимости'!$T$353)</f>
        <v>0</v>
      </c>
      <c r="F16" s="723"/>
      <c r="G16" s="723"/>
      <c r="H16" s="723"/>
      <c r="I16" s="723"/>
      <c r="J16" s="743"/>
    </row>
    <row r="17" spans="1:12" ht="15" customHeight="1" x14ac:dyDescent="0.25">
      <c r="A17" s="756">
        <v>2</v>
      </c>
      <c r="B17" s="750" t="s">
        <v>1399</v>
      </c>
      <c r="C17" s="751"/>
      <c r="D17" s="365" t="s">
        <v>1412</v>
      </c>
      <c r="E17" s="367">
        <f>'Расчет стоимости'!E332</f>
        <v>4.21</v>
      </c>
      <c r="F17" s="721">
        <f>'Расчет стоимости'!E338</f>
        <v>3.82</v>
      </c>
      <c r="G17" s="721">
        <f>'Расчет стоимости'!E341</f>
        <v>12.66</v>
      </c>
      <c r="H17" s="721">
        <f>'Расчет стоимости'!E344</f>
        <v>7.53</v>
      </c>
      <c r="I17" s="721">
        <f>'Расчет стоимости'!E329</f>
        <v>3.53</v>
      </c>
      <c r="J17" s="724"/>
    </row>
    <row r="18" spans="1:12" ht="25.5" x14ac:dyDescent="0.25">
      <c r="A18" s="757"/>
      <c r="B18" s="752"/>
      <c r="C18" s="753"/>
      <c r="D18" s="365" t="s">
        <v>1413</v>
      </c>
      <c r="E18" s="367">
        <f>'Расчет стоимости'!E333</f>
        <v>4.21</v>
      </c>
      <c r="F18" s="722"/>
      <c r="G18" s="722"/>
      <c r="H18" s="722"/>
      <c r="I18" s="722"/>
      <c r="J18" s="725"/>
    </row>
    <row r="19" spans="1:12" x14ac:dyDescent="0.25">
      <c r="A19" s="757"/>
      <c r="B19" s="752"/>
      <c r="C19" s="753"/>
      <c r="D19" s="365" t="s">
        <v>1414</v>
      </c>
      <c r="E19" s="367">
        <f>'Расчет стоимости'!E334</f>
        <v>4.1500000000000004</v>
      </c>
      <c r="F19" s="722"/>
      <c r="G19" s="722"/>
      <c r="H19" s="722"/>
      <c r="I19" s="722"/>
      <c r="J19" s="725"/>
    </row>
    <row r="20" spans="1:12" ht="25.5" x14ac:dyDescent="0.25">
      <c r="A20" s="757"/>
      <c r="B20" s="752"/>
      <c r="C20" s="753"/>
      <c r="D20" s="365" t="s">
        <v>1415</v>
      </c>
      <c r="E20" s="367">
        <f>'Расчет стоимости'!E335</f>
        <v>4.1500000000000004</v>
      </c>
      <c r="F20" s="722"/>
      <c r="G20" s="722"/>
      <c r="H20" s="722"/>
      <c r="I20" s="722"/>
      <c r="J20" s="725"/>
    </row>
    <row r="21" spans="1:12" x14ac:dyDescent="0.25">
      <c r="A21" s="757"/>
      <c r="B21" s="752"/>
      <c r="C21" s="753"/>
      <c r="D21" s="365" t="s">
        <v>1416</v>
      </c>
      <c r="E21" s="367">
        <f>'Расчет стоимости'!E336</f>
        <v>6.35</v>
      </c>
      <c r="F21" s="722"/>
      <c r="G21" s="722"/>
      <c r="H21" s="722"/>
      <c r="I21" s="722"/>
      <c r="J21" s="725"/>
    </row>
    <row r="22" spans="1:12" x14ac:dyDescent="0.25">
      <c r="A22" s="758"/>
      <c r="B22" s="754"/>
      <c r="C22" s="755"/>
      <c r="D22" s="488" t="s">
        <v>187</v>
      </c>
      <c r="E22" s="367">
        <f>'Расчет стоимости'!E337</f>
        <v>6.35</v>
      </c>
      <c r="F22" s="723"/>
      <c r="G22" s="723"/>
      <c r="H22" s="723"/>
      <c r="I22" s="723"/>
      <c r="J22" s="726"/>
    </row>
    <row r="23" spans="1:12" ht="30" customHeight="1" x14ac:dyDescent="0.25">
      <c r="A23" s="378">
        <v>3</v>
      </c>
      <c r="B23" s="728" t="s">
        <v>1400</v>
      </c>
      <c r="C23" s="729"/>
      <c r="D23" s="730"/>
      <c r="E23" s="367">
        <f ca="1">E14*E17+E15*E19+E16*E21</f>
        <v>22527.474240000003</v>
      </c>
      <c r="F23" s="367">
        <f ca="1">F14*F17</f>
        <v>940.37760468765725</v>
      </c>
      <c r="G23" s="367">
        <f ca="1">G14*G17</f>
        <v>0</v>
      </c>
      <c r="H23" s="367">
        <f ca="1">'НМЦ лота'!J16</f>
        <v>3574.4102686566321</v>
      </c>
      <c r="I23" s="367">
        <f ca="1">I14*I17</f>
        <v>1662.2390110426011</v>
      </c>
      <c r="J23" s="489">
        <f ca="1">SUM(E23:I23)</f>
        <v>28704.501124386894</v>
      </c>
    </row>
    <row r="24" spans="1:12" ht="30" customHeight="1" x14ac:dyDescent="0.25">
      <c r="A24" s="378">
        <v>4</v>
      </c>
      <c r="B24" s="731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2023 г. </v>
      </c>
      <c r="C24" s="732"/>
      <c r="D24" s="733"/>
      <c r="E24" s="368">
        <f>'НМЦ лота'!E18</f>
        <v>1.8157849246435149</v>
      </c>
      <c r="F24" s="368">
        <f>'НМЦ лота'!E19</f>
        <v>1.8157849246435149</v>
      </c>
      <c r="G24" s="368">
        <f>'НМЦ лота'!E20</f>
        <v>1.8157849246435149</v>
      </c>
      <c r="H24" s="368">
        <f>'НМЦ лота'!E22</f>
        <v>1.8157849246435149</v>
      </c>
      <c r="I24" s="368">
        <f>'НМЦ лота'!E21</f>
        <v>1.7425958969707436</v>
      </c>
      <c r="J24" s="487"/>
    </row>
    <row r="25" spans="1:12" ht="30" customHeight="1" x14ac:dyDescent="0.25">
      <c r="A25" s="378">
        <v>5</v>
      </c>
      <c r="B25" s="682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2023 году </v>
      </c>
      <c r="C25" s="683"/>
      <c r="D25" s="684"/>
      <c r="E25" s="367">
        <f ca="1">E23*E24</f>
        <v>40905.048115287129</v>
      </c>
      <c r="F25" s="367">
        <f ca="1">F23*F24</f>
        <v>1707.5234780642268</v>
      </c>
      <c r="G25" s="367">
        <f ca="1">G23*G24</f>
        <v>0</v>
      </c>
      <c r="H25" s="367">
        <f ca="1">H23*H24</f>
        <v>6490.3602803176882</v>
      </c>
      <c r="I25" s="367">
        <f ca="1">I23*I24</f>
        <v>2896.6108804275432</v>
      </c>
      <c r="J25" s="489">
        <f ca="1">SUM(E25:I25)</f>
        <v>51999.54275409659</v>
      </c>
    </row>
    <row r="26" spans="1:12" ht="30" customHeight="1" x14ac:dyDescent="0.25">
      <c r="A26" s="378">
        <v>6</v>
      </c>
      <c r="B26" s="682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2023 г. </v>
      </c>
      <c r="C26" s="683"/>
      <c r="D26" s="684"/>
      <c r="E26" s="368">
        <f>'НМЦ лота'!E24</f>
        <v>0.7</v>
      </c>
      <c r="F26" s="368">
        <f>'НМЦ лота'!E25</f>
        <v>0.7</v>
      </c>
      <c r="G26" s="368">
        <f>'НМЦ лота'!E26</f>
        <v>0.7</v>
      </c>
      <c r="H26" s="368">
        <f>'НМЦ лота'!E28</f>
        <v>0.7</v>
      </c>
      <c r="I26" s="368">
        <f>'НМЦ лота'!E27</f>
        <v>0.7</v>
      </c>
      <c r="J26" s="487"/>
    </row>
    <row r="27" spans="1:12" ht="30" customHeight="1" x14ac:dyDescent="0.25">
      <c r="A27" s="745">
        <v>7</v>
      </c>
      <c r="B27" s="682" t="s">
        <v>1401</v>
      </c>
      <c r="C27" s="683"/>
      <c r="D27" s="684"/>
      <c r="E27" s="367">
        <f ca="1">E25*E26</f>
        <v>28633.533680700988</v>
      </c>
      <c r="F27" s="367">
        <f ca="1">F25*F26</f>
        <v>1195.2664346449587</v>
      </c>
      <c r="G27" s="367">
        <f ca="1">G25*G26</f>
        <v>0</v>
      </c>
      <c r="H27" s="367">
        <f ca="1">H25*H26</f>
        <v>4543.2521962223818</v>
      </c>
      <c r="I27" s="367">
        <f ca="1">I25*I26</f>
        <v>2027.6276162992801</v>
      </c>
      <c r="J27" s="487">
        <f ca="1">SUM(E27:I27)</f>
        <v>36399.679927867612</v>
      </c>
    </row>
    <row r="28" spans="1:12" ht="30" customHeight="1" thickBot="1" x14ac:dyDescent="0.3">
      <c r="A28" s="746"/>
      <c r="B28" s="747" t="s">
        <v>1402</v>
      </c>
      <c r="C28" s="748"/>
      <c r="D28" s="749"/>
      <c r="E28" s="369">
        <f ca="1">ROUND(E27*1.18,5)</f>
        <v>33787.569739999999</v>
      </c>
      <c r="F28" s="369">
        <f t="shared" ref="F28:I28" ca="1" si="0">ROUND(F27*1.18,5)</f>
        <v>1410.4143899999999</v>
      </c>
      <c r="G28" s="369">
        <f t="shared" ca="1" si="0"/>
        <v>0</v>
      </c>
      <c r="H28" s="369">
        <f t="shared" ca="1" si="0"/>
        <v>5361.0375899999999</v>
      </c>
      <c r="I28" s="369">
        <f t="shared" ca="1" si="0"/>
        <v>2392.60059</v>
      </c>
      <c r="J28" s="490">
        <f ca="1">SUM(E28:I28)</f>
        <v>42951.622309999999</v>
      </c>
      <c r="L28" s="486"/>
    </row>
    <row r="29" spans="1:12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</row>
    <row r="30" spans="1:12" x14ac:dyDescent="0.25">
      <c r="A30" s="380" t="s">
        <v>1212</v>
      </c>
      <c r="B30" s="380"/>
      <c r="C30" s="381"/>
      <c r="D30" s="381"/>
      <c r="E30" s="381"/>
      <c r="F30" s="381"/>
      <c r="G30" s="381"/>
      <c r="H30" s="381"/>
      <c r="I30" s="381"/>
      <c r="J30" s="473"/>
    </row>
    <row r="31" spans="1:12" x14ac:dyDescent="0.25">
      <c r="A31" s="380"/>
      <c r="B31" s="380"/>
      <c r="C31" s="381"/>
      <c r="D31" s="381"/>
      <c r="E31" s="381"/>
      <c r="F31" s="381"/>
      <c r="G31" s="381"/>
      <c r="H31" s="381"/>
      <c r="I31" s="474"/>
      <c r="J31" s="474"/>
    </row>
    <row r="32" spans="1:12" x14ac:dyDescent="0.25">
      <c r="A32" s="380" t="s">
        <v>1340</v>
      </c>
      <c r="B32" s="380"/>
      <c r="C32" s="381"/>
      <c r="D32" s="381"/>
      <c r="E32" s="381"/>
      <c r="F32" s="381"/>
      <c r="G32" s="381"/>
      <c r="H32" s="381"/>
      <c r="I32" s="452"/>
      <c r="J32" s="473"/>
    </row>
    <row r="33" spans="1:10" x14ac:dyDescent="0.25">
      <c r="A33" s="380"/>
      <c r="B33" s="380"/>
      <c r="C33" s="381"/>
      <c r="D33" s="381"/>
      <c r="E33" s="381"/>
      <c r="F33" s="381"/>
      <c r="G33" s="381"/>
      <c r="H33" s="381"/>
      <c r="I33" s="452"/>
      <c r="J33" s="475"/>
    </row>
    <row r="34" spans="1:10" x14ac:dyDescent="0.25">
      <c r="A34" s="380" t="s">
        <v>1394</v>
      </c>
      <c r="B34" s="380"/>
      <c r="C34" s="381"/>
      <c r="D34" s="381"/>
      <c r="E34" s="381"/>
      <c r="F34" s="381"/>
      <c r="G34" s="381"/>
      <c r="H34" s="381"/>
      <c r="I34" s="472"/>
      <c r="J34" s="472"/>
    </row>
    <row r="35" spans="1:10" x14ac:dyDescent="0.25">
      <c r="A35" s="380"/>
      <c r="B35" s="380"/>
      <c r="C35" s="381"/>
      <c r="D35" s="381"/>
      <c r="E35" s="381"/>
      <c r="F35" s="381"/>
      <c r="G35" s="381"/>
      <c r="H35" s="381"/>
      <c r="I35" s="452"/>
      <c r="J35" s="452"/>
    </row>
    <row r="36" spans="1:10" x14ac:dyDescent="0.25">
      <c r="A36" s="461"/>
      <c r="B36" s="461"/>
      <c r="C36" s="462"/>
      <c r="D36" s="462"/>
      <c r="E36" s="462"/>
      <c r="F36" s="462"/>
      <c r="G36" s="462"/>
      <c r="H36" s="462"/>
    </row>
    <row r="37" spans="1:10" x14ac:dyDescent="0.25">
      <c r="A37" s="461"/>
      <c r="B37" s="461"/>
      <c r="C37" s="462"/>
      <c r="D37" s="462"/>
      <c r="E37" s="462"/>
      <c r="F37" s="462"/>
      <c r="G37" s="462"/>
      <c r="H37" s="462"/>
    </row>
    <row r="38" spans="1:10" x14ac:dyDescent="0.25">
      <c r="A38" s="464" t="str">
        <f>IF('Расчет стоимости'!$P$13&lt;35,"            ","СОГЛАСОВАНО:")</f>
        <v xml:space="preserve">            </v>
      </c>
      <c r="B38" s="145"/>
      <c r="C38" s="464"/>
      <c r="D38" s="462"/>
      <c r="E38" s="462"/>
      <c r="F38" s="462"/>
      <c r="G38" s="462"/>
      <c r="H38" s="462"/>
    </row>
    <row r="39" spans="1:10" x14ac:dyDescent="0.25">
      <c r="A39" s="463" t="str">
        <f>IF('Расчет стоимости'!$P$13&lt;35,"         ","Начальник департамента капитального строительства ''ПАО МРСК Северо-Запада''")</f>
        <v xml:space="preserve">         </v>
      </c>
      <c r="B39" s="465"/>
      <c r="C39" s="465"/>
      <c r="D39" s="462"/>
      <c r="E39" s="463"/>
      <c r="F39" s="462"/>
      <c r="G39" s="145"/>
      <c r="H39" s="462" t="str">
        <f>IF('Расчет стоимости'!$P$13&lt;35,"      ","___________ /Э.Б. Михневич/")</f>
        <v xml:space="preserve">      </v>
      </c>
    </row>
    <row r="40" spans="1:10" x14ac:dyDescent="0.25">
      <c r="A40" s="463"/>
      <c r="B40" s="465"/>
      <c r="C40" s="465"/>
      <c r="D40" s="462"/>
      <c r="E40" s="463"/>
      <c r="F40" s="462"/>
      <c r="G40" s="145"/>
      <c r="H40" s="462"/>
    </row>
    <row r="41" spans="1:10" x14ac:dyDescent="0.25">
      <c r="A41" s="463" t="str">
        <f>IF('Расчет стоимости'!$P$13&lt;35,"              ","Начальник отдела проектов и сметного нормирования")</f>
        <v xml:space="preserve">              </v>
      </c>
      <c r="B41" s="465"/>
      <c r="C41" s="465"/>
      <c r="D41" s="462"/>
      <c r="E41" s="463"/>
      <c r="F41" s="462"/>
      <c r="G41" s="145"/>
      <c r="H41" s="462" t="str">
        <f>IF('Расчет стоимости'!$P$13&lt;35,"      ","___________ /Т.В. Судакова/")</f>
        <v xml:space="preserve">      </v>
      </c>
    </row>
    <row r="42" spans="1:10" x14ac:dyDescent="0.25">
      <c r="A42" s="466"/>
      <c r="B42" s="727"/>
      <c r="C42" s="727"/>
      <c r="D42" s="462"/>
      <c r="E42" s="462"/>
      <c r="F42" s="462"/>
      <c r="G42" s="577"/>
      <c r="H42" s="577"/>
    </row>
  </sheetData>
  <mergeCells count="40">
    <mergeCell ref="B2:C2"/>
    <mergeCell ref="B5:C5"/>
    <mergeCell ref="A6:J6"/>
    <mergeCell ref="A7:J7"/>
    <mergeCell ref="A10:A13"/>
    <mergeCell ref="B10:D13"/>
    <mergeCell ref="E10:E13"/>
    <mergeCell ref="F10:F13"/>
    <mergeCell ref="G10:G13"/>
    <mergeCell ref="A14:A16"/>
    <mergeCell ref="B14:C16"/>
    <mergeCell ref="F14:F16"/>
    <mergeCell ref="G14:G16"/>
    <mergeCell ref="H14:H16"/>
    <mergeCell ref="A27:A28"/>
    <mergeCell ref="B27:D27"/>
    <mergeCell ref="B28:D28"/>
    <mergeCell ref="B17:C22"/>
    <mergeCell ref="A17:A22"/>
    <mergeCell ref="B42:C42"/>
    <mergeCell ref="G42:H42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I17:I22"/>
    <mergeCell ref="H17:H22"/>
    <mergeCell ref="G17:G22"/>
    <mergeCell ref="F17:F22"/>
    <mergeCell ref="J17:J22"/>
  </mergeCells>
  <conditionalFormatting sqref="B2:B4">
    <cfRule type="expression" dxfId="2" priority="1232">
      <formula>$B$82="Исполнительный аппарат ОАО МРСК Северо-Запада"</formula>
    </cfRule>
    <cfRule type="expression" dxfId="1" priority="1233">
      <formula>$B$82="Филиал"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55</vt:i4>
      </vt:variant>
    </vt:vector>
  </HeadingPairs>
  <TitlesOfParts>
    <vt:vector size="67" baseType="lpstr">
      <vt:lpstr>Расчет стоимости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Лист1</vt:lpstr>
      <vt:lpstr>НМЦ лота "под ключ"</vt:lpstr>
      <vt:lpstr>Калькуляция для выноса</vt:lpstr>
      <vt:lpstr>Удельники</vt:lpstr>
      <vt:lpstr>Расчет с НДС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2018-02-06T07:11:02Z</cp:lastPrinted>
  <dcterms:created xsi:type="dcterms:W3CDTF">2012-12-15T10:24:53Z</dcterms:created>
  <dcterms:modified xsi:type="dcterms:W3CDTF">2020-02-25T11:34:18Z</dcterms:modified>
</cp:coreProperties>
</file>